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filterPrivacy="1"/>
  <xr:revisionPtr revIDLastSave="941" documentId="8_{74E41F6F-AFED-4DF6-8F03-41F12907689B}" xr6:coauthVersionLast="47" xr6:coauthVersionMax="47" xr10:uidLastSave="{713BA54E-2871-47E5-80DC-A564F94C524E}"/>
  <bookViews>
    <workbookView xWindow="-120" yWindow="-120" windowWidth="20730" windowHeight="11160" tabRatio="869" xr2:uid="{00000000-000D-0000-FFFF-FFFF00000000}"/>
  </bookViews>
  <sheets>
    <sheet name="Prob.Functions &amp; Links" sheetId="5" r:id="rId1"/>
    <sheet name="Frequency" sheetId="17" r:id="rId2"/>
    <sheet name="BarChart" sheetId="12" r:id="rId3"/>
    <sheet name="Histogram1" sheetId="14" r:id="rId4"/>
    <sheet name="NormalityPlot" sheetId="16" r:id="rId5"/>
    <sheet name="Summary Statistics" sheetId="6" r:id="rId6"/>
    <sheet name="Proportion-Tests" sheetId="2" r:id="rId7"/>
    <sheet name="T-Tests" sheetId="1" r:id="rId8"/>
    <sheet name="Correlation_Regression" sheetId="4" r:id="rId9"/>
    <sheet name="Chi-Square Test for Indep" sheetId="8" r:id="rId10"/>
    <sheet name="Goodness-of-Fit" sheetId="3" r:id="rId11"/>
    <sheet name="ANOVA" sheetId="9" r:id="rId12"/>
  </sheets>
  <externalReferences>
    <externalReference r:id="rId13"/>
  </externalReferences>
  <definedNames>
    <definedName name="Freq3" localSheetId="4">OFFSET([1]Histogram2!$E$5,0,0,COUNT([1]Histogram2!$E$5:$E$81),1)</definedName>
    <definedName name="Freq3">OFFSET([1]Histogram2!$E$5,0,0,COUNT([1]Histogram2!$E$5:$E$81),1)</definedName>
    <definedName name="Freq5" localSheetId="3">OFFSET(Histogram1!$E$6,0,0,COUNT(Histogram1!$E$6:$E$82),1)</definedName>
    <definedName name="_xlnm.Print_Area" localSheetId="8">Correlation_Regression!$C$1:$J$15</definedName>
    <definedName name="_xlnm.Print_Area" localSheetId="6">'Proportion-Tests'!$A$1:$H$30</definedName>
    <definedName name="_xlnm.Print_Area" localSheetId="7">'T-Tests'!$A$1:$V$28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1" i="17" l="1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2" i="17"/>
  <c r="G11" i="8" l="1"/>
  <c r="H11" i="8"/>
  <c r="F11" i="8"/>
  <c r="E11" i="8"/>
  <c r="D11" i="8"/>
  <c r="I9" i="8"/>
  <c r="I10" i="8"/>
  <c r="I8" i="8"/>
  <c r="I7" i="8"/>
  <c r="D30" i="8"/>
  <c r="E30" i="8"/>
  <c r="F30" i="8"/>
  <c r="G30" i="8"/>
  <c r="H30" i="8"/>
  <c r="H32" i="8" s="1"/>
  <c r="H34" i="8"/>
  <c r="H36" i="8" s="1"/>
  <c r="G34" i="8"/>
  <c r="F34" i="8"/>
  <c r="E34" i="8"/>
  <c r="D34" i="8"/>
  <c r="D38" i="8"/>
  <c r="D40" i="8" s="1"/>
  <c r="E38" i="8"/>
  <c r="E40" i="8" s="1"/>
  <c r="F38" i="8"/>
  <c r="F40" i="8" s="1"/>
  <c r="G38" i="8"/>
  <c r="G40" i="8" s="1"/>
  <c r="H38" i="8"/>
  <c r="H40" i="8" s="1"/>
  <c r="D42" i="8"/>
  <c r="D44" i="8" s="1"/>
  <c r="E42" i="8"/>
  <c r="E44" i="8" s="1"/>
  <c r="F42" i="8"/>
  <c r="F44" i="8" s="1"/>
  <c r="G42" i="8"/>
  <c r="G44" i="8" s="1"/>
  <c r="H42" i="8"/>
  <c r="H44" i="8" s="1"/>
  <c r="C42" i="8"/>
  <c r="C38" i="8"/>
  <c r="C34" i="8"/>
  <c r="C30" i="8"/>
  <c r="D29" i="8"/>
  <c r="E29" i="8"/>
  <c r="F29" i="8"/>
  <c r="G29" i="8"/>
  <c r="H29" i="8"/>
  <c r="C29" i="8"/>
  <c r="H24" i="8"/>
  <c r="H35" i="8" s="1"/>
  <c r="H37" i="8" s="1"/>
  <c r="H25" i="8"/>
  <c r="H39" i="8" s="1"/>
  <c r="H41" i="8" s="1"/>
  <c r="H26" i="8"/>
  <c r="H43" i="8" s="1"/>
  <c r="H45" i="8" s="1"/>
  <c r="H23" i="8"/>
  <c r="H31" i="8" s="1"/>
  <c r="H33" i="8" s="1"/>
  <c r="G25" i="8"/>
  <c r="G39" i="8" s="1"/>
  <c r="G41" i="8" s="1"/>
  <c r="G26" i="8"/>
  <c r="G43" i="8" s="1"/>
  <c r="G45" i="8" s="1"/>
  <c r="F25" i="8"/>
  <c r="F39" i="8" s="1"/>
  <c r="F41" i="8" s="1"/>
  <c r="F26" i="8"/>
  <c r="F43" i="8" s="1"/>
  <c r="F45" i="8" s="1"/>
  <c r="E25" i="8"/>
  <c r="E39" i="8" s="1"/>
  <c r="E41" i="8" s="1"/>
  <c r="E26" i="8"/>
  <c r="E43" i="8" s="1"/>
  <c r="E45" i="8" s="1"/>
  <c r="D25" i="8"/>
  <c r="D39" i="8" s="1"/>
  <c r="D41" i="8" s="1"/>
  <c r="D26" i="8"/>
  <c r="D43" i="8" s="1"/>
  <c r="D45" i="8" s="1"/>
  <c r="C23" i="8"/>
  <c r="C24" i="8"/>
  <c r="C25" i="8"/>
  <c r="C26" i="8"/>
  <c r="D22" i="8"/>
  <c r="E22" i="8"/>
  <c r="F22" i="8"/>
  <c r="G22" i="8"/>
  <c r="H22" i="8"/>
  <c r="C22" i="8"/>
  <c r="D18" i="8"/>
  <c r="I18" i="8" s="1"/>
  <c r="E18" i="8"/>
  <c r="F18" i="8"/>
  <c r="G18" i="8"/>
  <c r="H18" i="8"/>
  <c r="C18" i="8"/>
  <c r="D17" i="8"/>
  <c r="I17" i="8" s="1"/>
  <c r="E17" i="8"/>
  <c r="F17" i="8"/>
  <c r="G17" i="8"/>
  <c r="H17" i="8"/>
  <c r="C17" i="8"/>
  <c r="C14" i="8"/>
  <c r="C16" i="8"/>
  <c r="C15" i="8"/>
  <c r="E16" i="8"/>
  <c r="F16" i="8"/>
  <c r="G16" i="8"/>
  <c r="H16" i="8"/>
  <c r="D16" i="8"/>
  <c r="D15" i="8"/>
  <c r="E15" i="8"/>
  <c r="F15" i="8"/>
  <c r="H15" i="8"/>
  <c r="H19" i="8" s="1"/>
  <c r="D14" i="8"/>
  <c r="E14" i="8"/>
  <c r="F14" i="8"/>
  <c r="G15" i="8"/>
  <c r="H14" i="8"/>
  <c r="G14" i="8"/>
  <c r="D33" i="5"/>
  <c r="E33" i="5" s="1"/>
  <c r="E21" i="5"/>
  <c r="I30" i="5"/>
  <c r="D13" i="2" l="1"/>
  <c r="H20" i="5"/>
  <c r="I20" i="5" l="1"/>
  <c r="I38" i="5"/>
  <c r="B3" i="16" l="1"/>
  <c r="B4" i="16" s="1"/>
  <c r="B40" i="16"/>
  <c r="B39" i="16"/>
  <c r="B38" i="16"/>
  <c r="B37" i="16"/>
  <c r="B36" i="16"/>
  <c r="B35" i="16"/>
  <c r="B34" i="16"/>
  <c r="B33" i="16"/>
  <c r="B32" i="16"/>
  <c r="B31" i="16"/>
  <c r="B30" i="16"/>
  <c r="B29" i="16"/>
  <c r="B28" i="16"/>
  <c r="B27" i="16"/>
  <c r="B26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M18" i="6"/>
  <c r="M17" i="6"/>
  <c r="M16" i="6"/>
  <c r="M15" i="6"/>
  <c r="M14" i="6"/>
  <c r="M13" i="6"/>
  <c r="M12" i="6"/>
  <c r="M11" i="6"/>
  <c r="M10" i="6"/>
  <c r="M9" i="6"/>
  <c r="M8" i="6"/>
  <c r="K18" i="6"/>
  <c r="K17" i="6"/>
  <c r="K16" i="6"/>
  <c r="K15" i="6"/>
  <c r="K14" i="6"/>
  <c r="K13" i="6"/>
  <c r="K12" i="6"/>
  <c r="K11" i="6"/>
  <c r="K10" i="6"/>
  <c r="K9" i="6"/>
  <c r="K3" i="6"/>
  <c r="K4" i="6"/>
  <c r="K5" i="6"/>
  <c r="K6" i="6"/>
  <c r="K7" i="6"/>
  <c r="K8" i="6"/>
  <c r="L10" i="1"/>
  <c r="L11" i="1"/>
  <c r="L2" i="1"/>
  <c r="L3" i="1"/>
  <c r="L4" i="1"/>
  <c r="L5" i="1"/>
  <c r="L6" i="1"/>
  <c r="L7" i="1"/>
  <c r="L8" i="1"/>
  <c r="L9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H9" i="4"/>
  <c r="B5" i="16" l="1"/>
  <c r="B6" i="16" l="1"/>
  <c r="I101" i="3"/>
  <c r="H101" i="3"/>
  <c r="F101" i="3"/>
  <c r="I100" i="3"/>
  <c r="H100" i="3"/>
  <c r="F100" i="3"/>
  <c r="I99" i="3"/>
  <c r="H99" i="3"/>
  <c r="F99" i="3"/>
  <c r="I98" i="3"/>
  <c r="H98" i="3"/>
  <c r="F98" i="3"/>
  <c r="I97" i="3"/>
  <c r="H97" i="3"/>
  <c r="F97" i="3"/>
  <c r="I96" i="3"/>
  <c r="H96" i="3"/>
  <c r="F96" i="3"/>
  <c r="I95" i="3"/>
  <c r="H95" i="3"/>
  <c r="F95" i="3"/>
  <c r="I94" i="3"/>
  <c r="H94" i="3"/>
  <c r="F94" i="3"/>
  <c r="I93" i="3"/>
  <c r="H93" i="3"/>
  <c r="F93" i="3"/>
  <c r="I92" i="3"/>
  <c r="H92" i="3"/>
  <c r="F92" i="3"/>
  <c r="I91" i="3"/>
  <c r="H91" i="3"/>
  <c r="F91" i="3"/>
  <c r="I90" i="3"/>
  <c r="H90" i="3"/>
  <c r="F90" i="3"/>
  <c r="I89" i="3"/>
  <c r="H89" i="3"/>
  <c r="F89" i="3"/>
  <c r="I88" i="3"/>
  <c r="H88" i="3"/>
  <c r="F88" i="3"/>
  <c r="I87" i="3"/>
  <c r="H87" i="3"/>
  <c r="F87" i="3"/>
  <c r="I86" i="3"/>
  <c r="H86" i="3"/>
  <c r="F86" i="3"/>
  <c r="I85" i="3"/>
  <c r="H85" i="3"/>
  <c r="F85" i="3"/>
  <c r="I84" i="3"/>
  <c r="H84" i="3"/>
  <c r="F84" i="3"/>
  <c r="I83" i="3"/>
  <c r="H83" i="3"/>
  <c r="F83" i="3"/>
  <c r="I82" i="3"/>
  <c r="H82" i="3"/>
  <c r="F82" i="3"/>
  <c r="I81" i="3"/>
  <c r="H81" i="3"/>
  <c r="F81" i="3"/>
  <c r="I80" i="3"/>
  <c r="H80" i="3"/>
  <c r="F80" i="3"/>
  <c r="I79" i="3"/>
  <c r="H79" i="3"/>
  <c r="F79" i="3"/>
  <c r="I78" i="3"/>
  <c r="H78" i="3"/>
  <c r="F78" i="3"/>
  <c r="I77" i="3"/>
  <c r="H77" i="3"/>
  <c r="F77" i="3"/>
  <c r="I76" i="3"/>
  <c r="H76" i="3"/>
  <c r="F76" i="3"/>
  <c r="I75" i="3"/>
  <c r="H75" i="3"/>
  <c r="F75" i="3"/>
  <c r="I74" i="3"/>
  <c r="H74" i="3"/>
  <c r="F74" i="3"/>
  <c r="I73" i="3"/>
  <c r="H73" i="3"/>
  <c r="F73" i="3"/>
  <c r="I72" i="3"/>
  <c r="H72" i="3"/>
  <c r="F72" i="3"/>
  <c r="I71" i="3"/>
  <c r="H71" i="3"/>
  <c r="F71" i="3"/>
  <c r="I70" i="3"/>
  <c r="H70" i="3"/>
  <c r="F70" i="3"/>
  <c r="I69" i="3"/>
  <c r="H69" i="3"/>
  <c r="F69" i="3"/>
  <c r="I68" i="3"/>
  <c r="H68" i="3"/>
  <c r="F68" i="3"/>
  <c r="I67" i="3"/>
  <c r="H67" i="3"/>
  <c r="F67" i="3"/>
  <c r="I66" i="3"/>
  <c r="H66" i="3"/>
  <c r="F66" i="3"/>
  <c r="I65" i="3"/>
  <c r="H65" i="3"/>
  <c r="F65" i="3"/>
  <c r="I64" i="3"/>
  <c r="H64" i="3"/>
  <c r="F64" i="3"/>
  <c r="I63" i="3"/>
  <c r="H63" i="3"/>
  <c r="F63" i="3"/>
  <c r="I62" i="3"/>
  <c r="H62" i="3"/>
  <c r="F62" i="3"/>
  <c r="I61" i="3"/>
  <c r="H61" i="3"/>
  <c r="F61" i="3"/>
  <c r="I60" i="3"/>
  <c r="H60" i="3"/>
  <c r="F60" i="3"/>
  <c r="I59" i="3"/>
  <c r="H59" i="3"/>
  <c r="F59" i="3"/>
  <c r="I58" i="3"/>
  <c r="H58" i="3"/>
  <c r="F58" i="3"/>
  <c r="I57" i="3"/>
  <c r="H57" i="3"/>
  <c r="F57" i="3"/>
  <c r="I56" i="3"/>
  <c r="H56" i="3"/>
  <c r="F56" i="3"/>
  <c r="I55" i="3"/>
  <c r="H55" i="3"/>
  <c r="F55" i="3"/>
  <c r="I54" i="3"/>
  <c r="H54" i="3"/>
  <c r="F54" i="3"/>
  <c r="I53" i="3"/>
  <c r="H53" i="3"/>
  <c r="F53" i="3"/>
  <c r="I52" i="3"/>
  <c r="H52" i="3"/>
  <c r="F52" i="3"/>
  <c r="I51" i="3"/>
  <c r="H51" i="3"/>
  <c r="F51" i="3"/>
  <c r="I50" i="3"/>
  <c r="H50" i="3"/>
  <c r="F50" i="3"/>
  <c r="I49" i="3"/>
  <c r="H49" i="3"/>
  <c r="F49" i="3"/>
  <c r="I48" i="3"/>
  <c r="H48" i="3"/>
  <c r="F48" i="3"/>
  <c r="I47" i="3"/>
  <c r="H47" i="3"/>
  <c r="F47" i="3"/>
  <c r="I46" i="3"/>
  <c r="H46" i="3"/>
  <c r="F46" i="3"/>
  <c r="I45" i="3"/>
  <c r="H45" i="3"/>
  <c r="F45" i="3"/>
  <c r="I44" i="3"/>
  <c r="H44" i="3"/>
  <c r="F44" i="3"/>
  <c r="I43" i="3"/>
  <c r="H43" i="3"/>
  <c r="F43" i="3"/>
  <c r="I42" i="3"/>
  <c r="H42" i="3"/>
  <c r="F42" i="3"/>
  <c r="I41" i="3"/>
  <c r="H41" i="3"/>
  <c r="F41" i="3"/>
  <c r="I40" i="3"/>
  <c r="H40" i="3"/>
  <c r="F40" i="3"/>
  <c r="I39" i="3"/>
  <c r="H39" i="3"/>
  <c r="F39" i="3"/>
  <c r="I38" i="3"/>
  <c r="H38" i="3"/>
  <c r="F38" i="3"/>
  <c r="I37" i="3"/>
  <c r="H37" i="3"/>
  <c r="F37" i="3"/>
  <c r="I36" i="3"/>
  <c r="H36" i="3"/>
  <c r="F36" i="3"/>
  <c r="I35" i="3"/>
  <c r="H35" i="3"/>
  <c r="F35" i="3"/>
  <c r="I34" i="3"/>
  <c r="H34" i="3"/>
  <c r="F34" i="3"/>
  <c r="I33" i="3"/>
  <c r="H33" i="3"/>
  <c r="F33" i="3"/>
  <c r="I32" i="3"/>
  <c r="H32" i="3"/>
  <c r="F32" i="3"/>
  <c r="I31" i="3"/>
  <c r="H31" i="3"/>
  <c r="F31" i="3"/>
  <c r="I30" i="3"/>
  <c r="H30" i="3"/>
  <c r="F30" i="3"/>
  <c r="I29" i="3"/>
  <c r="H29" i="3"/>
  <c r="F29" i="3"/>
  <c r="I28" i="3"/>
  <c r="H28" i="3"/>
  <c r="F28" i="3"/>
  <c r="I27" i="3"/>
  <c r="H27" i="3"/>
  <c r="F27" i="3"/>
  <c r="I26" i="3"/>
  <c r="H26" i="3"/>
  <c r="F26" i="3"/>
  <c r="I25" i="3"/>
  <c r="H25" i="3"/>
  <c r="F25" i="3"/>
  <c r="I24" i="3"/>
  <c r="H24" i="3"/>
  <c r="F24" i="3"/>
  <c r="I23" i="3"/>
  <c r="H23" i="3"/>
  <c r="F23" i="3"/>
  <c r="I22" i="3"/>
  <c r="H22" i="3"/>
  <c r="F22" i="3"/>
  <c r="I21" i="3"/>
  <c r="H21" i="3"/>
  <c r="F21" i="3"/>
  <c r="I20" i="3"/>
  <c r="H20" i="3"/>
  <c r="F20" i="3"/>
  <c r="I19" i="3"/>
  <c r="H19" i="3"/>
  <c r="F19" i="3"/>
  <c r="I18" i="3"/>
  <c r="H18" i="3"/>
  <c r="F18" i="3"/>
  <c r="I17" i="3"/>
  <c r="H17" i="3"/>
  <c r="F17" i="3"/>
  <c r="I16" i="3"/>
  <c r="H16" i="3"/>
  <c r="F16" i="3"/>
  <c r="I15" i="3"/>
  <c r="H15" i="3"/>
  <c r="F15" i="3"/>
  <c r="I14" i="3"/>
  <c r="H14" i="3"/>
  <c r="F14" i="3"/>
  <c r="I13" i="3"/>
  <c r="H13" i="3"/>
  <c r="F13" i="3"/>
  <c r="I12" i="3"/>
  <c r="H12" i="3"/>
  <c r="F12" i="3"/>
  <c r="I11" i="3"/>
  <c r="H11" i="3"/>
  <c r="F11" i="3"/>
  <c r="K3" i="3"/>
  <c r="B7" i="16" l="1"/>
  <c r="N4" i="1"/>
  <c r="B8" i="16" l="1"/>
  <c r="D5" i="1"/>
  <c r="B9" i="16" l="1"/>
  <c r="R16" i="6"/>
  <c r="P16" i="6"/>
  <c r="B10" i="16" l="1"/>
  <c r="B11" i="16" l="1"/>
  <c r="H11" i="4"/>
  <c r="B12" i="16" l="1"/>
  <c r="C6" i="14"/>
  <c r="C7" i="14" s="1"/>
  <c r="B13" i="16" l="1"/>
  <c r="D6" i="14"/>
  <c r="D7" i="14" s="1"/>
  <c r="D8" i="14" s="1"/>
  <c r="D9" i="14" s="1"/>
  <c r="D10" i="14" s="1"/>
  <c r="D11" i="14" s="1"/>
  <c r="D12" i="14" s="1"/>
  <c r="D13" i="14" s="1"/>
  <c r="D14" i="14" s="1"/>
  <c r="D15" i="14" s="1"/>
  <c r="C8" i="14"/>
  <c r="C9" i="14" s="1"/>
  <c r="C10" i="14" s="1"/>
  <c r="C11" i="14" s="1"/>
  <c r="C12" i="14" s="1"/>
  <c r="C13" i="14" s="1"/>
  <c r="C14" i="14" s="1"/>
  <c r="C15" i="14" s="1"/>
  <c r="C16" i="14" s="1"/>
  <c r="C17" i="14" s="1"/>
  <c r="C18" i="14" s="1"/>
  <c r="C19" i="14" s="1"/>
  <c r="B14" i="16" l="1"/>
  <c r="E15" i="14"/>
  <c r="D16" i="14"/>
  <c r="E14" i="14"/>
  <c r="B15" i="16" l="1"/>
  <c r="D17" i="14"/>
  <c r="E16" i="14"/>
  <c r="E7" i="16"/>
  <c r="C14" i="16" s="1"/>
  <c r="D14" i="16" s="1"/>
  <c r="C3" i="16" l="1"/>
  <c r="D3" i="16" s="1"/>
  <c r="C2" i="16"/>
  <c r="D2" i="16" s="1"/>
  <c r="C4" i="16"/>
  <c r="D4" i="16" s="1"/>
  <c r="C5" i="16"/>
  <c r="D5" i="16" s="1"/>
  <c r="C6" i="16"/>
  <c r="D6" i="16" s="1"/>
  <c r="C7" i="16"/>
  <c r="D7" i="16" s="1"/>
  <c r="C8" i="16"/>
  <c r="D8" i="16" s="1"/>
  <c r="C9" i="16"/>
  <c r="D9" i="16" s="1"/>
  <c r="C10" i="16"/>
  <c r="D10" i="16" s="1"/>
  <c r="C11" i="16"/>
  <c r="D11" i="16" s="1"/>
  <c r="C12" i="16"/>
  <c r="D12" i="16" s="1"/>
  <c r="C13" i="16"/>
  <c r="D13" i="16" s="1"/>
  <c r="B16" i="16"/>
  <c r="C15" i="16"/>
  <c r="D15" i="16" s="1"/>
  <c r="E17" i="14"/>
  <c r="D18" i="14"/>
  <c r="B17" i="16" l="1"/>
  <c r="C16" i="16"/>
  <c r="D16" i="16" s="1"/>
  <c r="E18" i="14"/>
  <c r="D19" i="14"/>
  <c r="E19" i="14" s="1"/>
  <c r="C17" i="16" l="1"/>
  <c r="D17" i="16" s="1"/>
  <c r="B18" i="16"/>
  <c r="C38" i="5"/>
  <c r="C39" i="5" s="1"/>
  <c r="C36" i="5"/>
  <c r="C42" i="5"/>
  <c r="C43" i="5" s="1"/>
  <c r="C41" i="5"/>
  <c r="E28" i="5"/>
  <c r="E30" i="5" s="1"/>
  <c r="B19" i="16" l="1"/>
  <c r="C18" i="16"/>
  <c r="D18" i="16" s="1"/>
  <c r="D37" i="5"/>
  <c r="D38" i="5" s="1"/>
  <c r="C40" i="5"/>
  <c r="B20" i="16" l="1"/>
  <c r="C19" i="16"/>
  <c r="D19" i="16" s="1"/>
  <c r="D39" i="5"/>
  <c r="B21" i="16" l="1"/>
  <c r="C20" i="16"/>
  <c r="D20" i="16" s="1"/>
  <c r="D41" i="5"/>
  <c r="D42" i="5" s="1"/>
  <c r="AA82" i="14"/>
  <c r="E82" i="14"/>
  <c r="AA81" i="14"/>
  <c r="E81" i="14"/>
  <c r="AA80" i="14"/>
  <c r="E80" i="14"/>
  <c r="AA79" i="14"/>
  <c r="E79" i="14"/>
  <c r="AA78" i="14"/>
  <c r="E78" i="14"/>
  <c r="AA77" i="14"/>
  <c r="E77" i="14"/>
  <c r="AA76" i="14"/>
  <c r="E76" i="14"/>
  <c r="AA75" i="14"/>
  <c r="E75" i="14"/>
  <c r="AA74" i="14"/>
  <c r="E74" i="14"/>
  <c r="AA73" i="14"/>
  <c r="E73" i="14"/>
  <c r="AA72" i="14"/>
  <c r="E72" i="14"/>
  <c r="AA71" i="14"/>
  <c r="E71" i="14"/>
  <c r="AA70" i="14"/>
  <c r="E70" i="14"/>
  <c r="AA69" i="14"/>
  <c r="E69" i="14"/>
  <c r="AA68" i="14"/>
  <c r="E68" i="14"/>
  <c r="AA67" i="14"/>
  <c r="E67" i="14"/>
  <c r="AA66" i="14"/>
  <c r="E66" i="14"/>
  <c r="AA65" i="14"/>
  <c r="E65" i="14"/>
  <c r="AA64" i="14"/>
  <c r="E64" i="14"/>
  <c r="AA63" i="14"/>
  <c r="E63" i="14"/>
  <c r="AA62" i="14"/>
  <c r="E62" i="14"/>
  <c r="AA61" i="14"/>
  <c r="E61" i="14"/>
  <c r="AA60" i="14"/>
  <c r="E60" i="14"/>
  <c r="AA59" i="14"/>
  <c r="E59" i="14"/>
  <c r="AA58" i="14"/>
  <c r="E58" i="14"/>
  <c r="AA57" i="14"/>
  <c r="E57" i="14"/>
  <c r="AA56" i="14"/>
  <c r="E56" i="14"/>
  <c r="AA55" i="14"/>
  <c r="E55" i="14"/>
  <c r="AA54" i="14"/>
  <c r="E54" i="14"/>
  <c r="AA53" i="14"/>
  <c r="E53" i="14"/>
  <c r="AA52" i="14"/>
  <c r="E52" i="14"/>
  <c r="AA51" i="14"/>
  <c r="E51" i="14"/>
  <c r="AA50" i="14"/>
  <c r="E50" i="14"/>
  <c r="AA49" i="14"/>
  <c r="E49" i="14"/>
  <c r="AA48" i="14"/>
  <c r="E48" i="14"/>
  <c r="AA47" i="14"/>
  <c r="E47" i="14"/>
  <c r="AA46" i="14"/>
  <c r="E46" i="14"/>
  <c r="AA45" i="14"/>
  <c r="E45" i="14"/>
  <c r="AA44" i="14"/>
  <c r="E44" i="14"/>
  <c r="AA43" i="14"/>
  <c r="E43" i="14"/>
  <c r="AA42" i="14"/>
  <c r="E42" i="14"/>
  <c r="AA41" i="14"/>
  <c r="E41" i="14"/>
  <c r="AA40" i="14"/>
  <c r="E40" i="14"/>
  <c r="AA39" i="14"/>
  <c r="E39" i="14"/>
  <c r="AA38" i="14"/>
  <c r="E38" i="14"/>
  <c r="AA37" i="14"/>
  <c r="E37" i="14"/>
  <c r="AA36" i="14"/>
  <c r="E36" i="14"/>
  <c r="AA35" i="14"/>
  <c r="E35" i="14"/>
  <c r="AA34" i="14"/>
  <c r="E34" i="14"/>
  <c r="AA33" i="14"/>
  <c r="E33" i="14"/>
  <c r="AA32" i="14"/>
  <c r="E32" i="14"/>
  <c r="AA31" i="14"/>
  <c r="E31" i="14"/>
  <c r="AA30" i="14"/>
  <c r="E30" i="14"/>
  <c r="AA29" i="14"/>
  <c r="E29" i="14"/>
  <c r="AA28" i="14"/>
  <c r="E28" i="14"/>
  <c r="AA27" i="14"/>
  <c r="E27" i="14"/>
  <c r="AA26" i="14"/>
  <c r="E26" i="14"/>
  <c r="AA25" i="14"/>
  <c r="E25" i="14"/>
  <c r="AA24" i="14"/>
  <c r="E24" i="14"/>
  <c r="AA23" i="14"/>
  <c r="AA22" i="14"/>
  <c r="AA21" i="14"/>
  <c r="AA20" i="14"/>
  <c r="AA19" i="14"/>
  <c r="AA18" i="14"/>
  <c r="AA17" i="14"/>
  <c r="AA16" i="14"/>
  <c r="AA15" i="14"/>
  <c r="AA14" i="14"/>
  <c r="AA13" i="14"/>
  <c r="E13" i="14"/>
  <c r="AA12" i="14"/>
  <c r="E12" i="14"/>
  <c r="AA11" i="14"/>
  <c r="E11" i="14"/>
  <c r="AA10" i="14"/>
  <c r="E10" i="14"/>
  <c r="AA9" i="14"/>
  <c r="E9" i="14"/>
  <c r="AA8" i="14"/>
  <c r="E8" i="14"/>
  <c r="AA7" i="14"/>
  <c r="E7" i="14"/>
  <c r="AA6" i="14"/>
  <c r="E6" i="14"/>
  <c r="C21" i="16" l="1"/>
  <c r="D21" i="16" s="1"/>
  <c r="B22" i="16"/>
  <c r="J29" i="5"/>
  <c r="J33" i="5" s="1"/>
  <c r="L31" i="5"/>
  <c r="L32" i="5" s="1"/>
  <c r="L33" i="5" s="1"/>
  <c r="N30" i="5"/>
  <c r="M30" i="5"/>
  <c r="B23" i="16" l="1"/>
  <c r="C22" i="16"/>
  <c r="D22" i="16" s="1"/>
  <c r="I21" i="5"/>
  <c r="J31" i="5"/>
  <c r="J34" i="5" s="1"/>
  <c r="N31" i="5"/>
  <c r="M32" i="5"/>
  <c r="N33" i="5"/>
  <c r="M33" i="5"/>
  <c r="L34" i="5"/>
  <c r="J30" i="5"/>
  <c r="K30" i="5" s="1"/>
  <c r="N32" i="5"/>
  <c r="M31" i="5"/>
  <c r="B13" i="12"/>
  <c r="B24" i="16" l="1"/>
  <c r="C23" i="16"/>
  <c r="D23" i="16" s="1"/>
  <c r="J32" i="5"/>
  <c r="K32" i="5" s="1"/>
  <c r="K33" i="5" s="1"/>
  <c r="K34" i="5" s="1"/>
  <c r="N34" i="5"/>
  <c r="M34" i="5"/>
  <c r="L35" i="5"/>
  <c r="C10" i="12"/>
  <c r="C6" i="12"/>
  <c r="C8" i="12"/>
  <c r="C12" i="12"/>
  <c r="C5" i="12"/>
  <c r="C7" i="12"/>
  <c r="C9" i="12"/>
  <c r="C11" i="12"/>
  <c r="B25" i="16" l="1"/>
  <c r="C25" i="16" s="1"/>
  <c r="D25" i="16" s="1"/>
  <c r="C24" i="16"/>
  <c r="D24" i="16" s="1"/>
  <c r="L36" i="5"/>
  <c r="N35" i="5"/>
  <c r="M35" i="5"/>
  <c r="C13" i="12"/>
  <c r="L37" i="5" l="1"/>
  <c r="N36" i="5"/>
  <c r="M36" i="5"/>
  <c r="M37" i="5" l="1"/>
  <c r="N37" i="5"/>
  <c r="L38" i="5"/>
  <c r="I2" i="8"/>
  <c r="I3" i="8"/>
  <c r="N38" i="5" l="1"/>
  <c r="M38" i="5"/>
  <c r="L39" i="5"/>
  <c r="L40" i="5" l="1"/>
  <c r="N39" i="5"/>
  <c r="M39" i="5"/>
  <c r="L41" i="5" l="1"/>
  <c r="M40" i="5"/>
  <c r="N40" i="5"/>
  <c r="I11" i="8" l="1"/>
  <c r="G19" i="8" s="1"/>
  <c r="M41" i="5"/>
  <c r="L42" i="5"/>
  <c r="N41" i="5"/>
  <c r="I4" i="8"/>
  <c r="I16" i="8" l="1"/>
  <c r="G24" i="8" s="1"/>
  <c r="G35" i="8" s="1"/>
  <c r="I15" i="8"/>
  <c r="G23" i="8" s="1"/>
  <c r="G31" i="8" s="1"/>
  <c r="F19" i="8"/>
  <c r="E19" i="8"/>
  <c r="D19" i="8"/>
  <c r="N42" i="5"/>
  <c r="M42" i="5"/>
  <c r="L43" i="5"/>
  <c r="I19" i="8"/>
  <c r="G36" i="8" l="1"/>
  <c r="G37" i="8" s="1"/>
  <c r="G32" i="8"/>
  <c r="G33" i="8" s="1"/>
  <c r="D24" i="8"/>
  <c r="D35" i="8" s="1"/>
  <c r="D23" i="8"/>
  <c r="D31" i="8" s="1"/>
  <c r="D32" i="8" s="1"/>
  <c r="D33" i="8" s="1"/>
  <c r="E24" i="8"/>
  <c r="E35" i="8" s="1"/>
  <c r="E23" i="8"/>
  <c r="E31" i="8" s="1"/>
  <c r="E32" i="8" s="1"/>
  <c r="E33" i="8" s="1"/>
  <c r="F23" i="8"/>
  <c r="F31" i="8" s="1"/>
  <c r="F32" i="8" s="1"/>
  <c r="F33" i="8" s="1"/>
  <c r="F24" i="8"/>
  <c r="F35" i="8" s="1"/>
  <c r="L44" i="5"/>
  <c r="N43" i="5"/>
  <c r="M43" i="5"/>
  <c r="H24" i="2"/>
  <c r="H25" i="2" s="1"/>
  <c r="H26" i="2" s="1"/>
  <c r="F36" i="8" l="1"/>
  <c r="F37" i="8" s="1"/>
  <c r="E36" i="8"/>
  <c r="E37" i="8" s="1"/>
  <c r="D36" i="8"/>
  <c r="D37" i="8" s="1"/>
  <c r="L45" i="5"/>
  <c r="N44" i="5"/>
  <c r="M44" i="5"/>
  <c r="M45" i="5" l="1"/>
  <c r="N45" i="5"/>
  <c r="L46" i="5"/>
  <c r="F24" i="5"/>
  <c r="F21" i="5"/>
  <c r="E18" i="5"/>
  <c r="N46" i="5" l="1"/>
  <c r="M46" i="5"/>
  <c r="L47" i="5"/>
  <c r="E46" i="8"/>
  <c r="H46" i="8" s="1"/>
  <c r="L7" i="6"/>
  <c r="L48" i="5" l="1"/>
  <c r="N47" i="5"/>
  <c r="M47" i="5"/>
  <c r="L49" i="5" l="1"/>
  <c r="M48" i="5"/>
  <c r="N48" i="5"/>
  <c r="L3" i="6"/>
  <c r="E11" i="6"/>
  <c r="E7" i="6"/>
  <c r="E9" i="6"/>
  <c r="Q17" i="6" s="1"/>
  <c r="Q18" i="6" s="1"/>
  <c r="E6" i="6"/>
  <c r="E3" i="6"/>
  <c r="E5" i="6"/>
  <c r="E4" i="6"/>
  <c r="M6" i="6" l="1"/>
  <c r="M3" i="6"/>
  <c r="M7" i="6"/>
  <c r="M5" i="6"/>
  <c r="M4" i="6"/>
  <c r="M49" i="5"/>
  <c r="L50" i="5"/>
  <c r="N49" i="5"/>
  <c r="E12" i="6"/>
  <c r="Q7" i="6" s="1"/>
  <c r="D11" i="5"/>
  <c r="D7" i="5"/>
  <c r="D3" i="5"/>
  <c r="N3" i="6" l="1"/>
  <c r="N6" i="6" s="1"/>
  <c r="Q3" i="6"/>
  <c r="Q4" i="6"/>
  <c r="Q6" i="6"/>
  <c r="Q8" i="6" s="1"/>
  <c r="N50" i="5"/>
  <c r="M50" i="5"/>
  <c r="L51" i="5"/>
  <c r="H2" i="4"/>
  <c r="Q5" i="6" l="1"/>
  <c r="Q12" i="6" s="1"/>
  <c r="Q16" i="6" s="1"/>
  <c r="Q14" i="6"/>
  <c r="Q15" i="6" s="1"/>
  <c r="L52" i="5"/>
  <c r="N51" i="5"/>
  <c r="M51" i="5"/>
  <c r="Q13" i="6" l="1"/>
  <c r="Q9" i="6"/>
  <c r="Q19" i="6" s="1"/>
  <c r="L53" i="5"/>
  <c r="N52" i="5"/>
  <c r="M52" i="5"/>
  <c r="Q20" i="6" l="1"/>
  <c r="M53" i="5"/>
  <c r="N53" i="5"/>
  <c r="L54" i="5"/>
  <c r="Q13" i="1"/>
  <c r="N54" i="5" l="1"/>
  <c r="M54" i="5"/>
  <c r="L55" i="5"/>
  <c r="L56" i="5" l="1"/>
  <c r="N55" i="5"/>
  <c r="M55" i="5"/>
  <c r="L57" i="5" l="1"/>
  <c r="M56" i="5"/>
  <c r="N56" i="5"/>
  <c r="V23" i="1"/>
  <c r="V24" i="1" s="1"/>
  <c r="Q23" i="1"/>
  <c r="Q24" i="1" s="1"/>
  <c r="N23" i="1"/>
  <c r="N24" i="1" s="1"/>
  <c r="H23" i="1"/>
  <c r="H24" i="1" s="1"/>
  <c r="D23" i="1"/>
  <c r="D24" i="1" s="1"/>
  <c r="D24" i="2"/>
  <c r="D25" i="2" s="1"/>
  <c r="D26" i="2" s="1"/>
  <c r="M57" i="5" l="1"/>
  <c r="L58" i="5"/>
  <c r="N57" i="5"/>
  <c r="K4" i="3"/>
  <c r="G2" i="3"/>
  <c r="F10" i="3" s="1"/>
  <c r="H10" i="3" s="1"/>
  <c r="I10" i="3" s="1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K7" i="4"/>
  <c r="K6" i="4"/>
  <c r="K5" i="4"/>
  <c r="K4" i="4"/>
  <c r="K3" i="4"/>
  <c r="K2" i="4"/>
  <c r="H7" i="4"/>
  <c r="H6" i="4"/>
  <c r="H10" i="4"/>
  <c r="E21" i="4" s="1"/>
  <c r="F21" i="4" s="1"/>
  <c r="H3" i="4"/>
  <c r="H5" i="4"/>
  <c r="H4" i="4"/>
  <c r="H12" i="2"/>
  <c r="H13" i="2" s="1"/>
  <c r="H8" i="2"/>
  <c r="H9" i="2" s="1"/>
  <c r="H4" i="2"/>
  <c r="D4" i="2"/>
  <c r="D15" i="2" s="1"/>
  <c r="Q6" i="1"/>
  <c r="V8" i="1"/>
  <c r="V7" i="1"/>
  <c r="V9" i="1"/>
  <c r="V10" i="1" s="1"/>
  <c r="V4" i="1"/>
  <c r="V5" i="1" s="1"/>
  <c r="V3" i="1"/>
  <c r="V2" i="1"/>
  <c r="D6" i="1"/>
  <c r="D8" i="1" s="1"/>
  <c r="N5" i="1"/>
  <c r="N25" i="1" s="1"/>
  <c r="Q11" i="1"/>
  <c r="Q10" i="1"/>
  <c r="Q5" i="1"/>
  <c r="E19" i="4" l="1"/>
  <c r="F19" i="4" s="1"/>
  <c r="E20" i="4"/>
  <c r="F20" i="4" s="1"/>
  <c r="E17" i="4"/>
  <c r="F17" i="4" s="1"/>
  <c r="E18" i="4"/>
  <c r="F18" i="4" s="1"/>
  <c r="E15" i="4"/>
  <c r="F15" i="4" s="1"/>
  <c r="E16" i="4"/>
  <c r="F16" i="4" s="1"/>
  <c r="E13" i="4"/>
  <c r="F13" i="4" s="1"/>
  <c r="E14" i="4"/>
  <c r="F14" i="4" s="1"/>
  <c r="E11" i="4"/>
  <c r="F11" i="4" s="1"/>
  <c r="E12" i="4"/>
  <c r="F12" i="4" s="1"/>
  <c r="E9" i="4"/>
  <c r="F9" i="4" s="1"/>
  <c r="E10" i="4"/>
  <c r="F10" i="4" s="1"/>
  <c r="E8" i="4"/>
  <c r="F8" i="4" s="1"/>
  <c r="E6" i="4"/>
  <c r="F6" i="4" s="1"/>
  <c r="E4" i="4"/>
  <c r="F4" i="4" s="1"/>
  <c r="E2" i="4"/>
  <c r="F2" i="4" s="1"/>
  <c r="E7" i="4"/>
  <c r="F7" i="4" s="1"/>
  <c r="E5" i="4"/>
  <c r="F5" i="4" s="1"/>
  <c r="E3" i="4"/>
  <c r="F3" i="4" s="1"/>
  <c r="F8" i="3"/>
  <c r="H8" i="3" s="1"/>
  <c r="I8" i="3" s="1"/>
  <c r="F9" i="3"/>
  <c r="H9" i="3" s="1"/>
  <c r="I9" i="3" s="1"/>
  <c r="F6" i="3"/>
  <c r="H6" i="3" s="1"/>
  <c r="I6" i="3" s="1"/>
  <c r="F2" i="3"/>
  <c r="H2" i="3" s="1"/>
  <c r="I2" i="3" s="1"/>
  <c r="F5" i="3"/>
  <c r="H5" i="3" s="1"/>
  <c r="I5" i="3" s="1"/>
  <c r="F7" i="3"/>
  <c r="H7" i="3" s="1"/>
  <c r="I7" i="3" s="1"/>
  <c r="F4" i="3"/>
  <c r="H4" i="3" s="1"/>
  <c r="I4" i="3" s="1"/>
  <c r="F3" i="3"/>
  <c r="H3" i="3" s="1"/>
  <c r="I3" i="3" s="1"/>
  <c r="N58" i="5"/>
  <c r="M58" i="5"/>
  <c r="L59" i="5"/>
  <c r="H5" i="2"/>
  <c r="H23" i="2"/>
  <c r="H27" i="2" s="1"/>
  <c r="H17" i="4"/>
  <c r="H18" i="4"/>
  <c r="H20" i="4"/>
  <c r="H12" i="4"/>
  <c r="H13" i="4" s="1"/>
  <c r="H19" i="4"/>
  <c r="D16" i="2"/>
  <c r="D23" i="2"/>
  <c r="D27" i="2" s="1"/>
  <c r="D30" i="2" s="1"/>
  <c r="V13" i="1"/>
  <c r="K8" i="3"/>
  <c r="K7" i="3"/>
  <c r="H14" i="2"/>
  <c r="H11" i="2"/>
  <c r="V6" i="1"/>
  <c r="Q14" i="1"/>
  <c r="Q25" i="1" s="1"/>
  <c r="V11" i="1"/>
  <c r="Q12" i="1"/>
  <c r="Q16" i="1" s="1"/>
  <c r="N2" i="1"/>
  <c r="N3" i="1"/>
  <c r="N6" i="1" s="1"/>
  <c r="N26" i="1" s="1"/>
  <c r="H2" i="1"/>
  <c r="H3" i="1"/>
  <c r="H4" i="1"/>
  <c r="L60" i="5" l="1"/>
  <c r="N59" i="5"/>
  <c r="M59" i="5"/>
  <c r="H29" i="2"/>
  <c r="H30" i="2"/>
  <c r="H16" i="4"/>
  <c r="H14" i="4"/>
  <c r="H15" i="4"/>
  <c r="Q26" i="1"/>
  <c r="Q28" i="1" s="1"/>
  <c r="D10" i="1"/>
  <c r="D25" i="1"/>
  <c r="D26" i="1" s="1"/>
  <c r="D27" i="1" s="1"/>
  <c r="N28" i="1"/>
  <c r="N27" i="1"/>
  <c r="D29" i="2"/>
  <c r="H5" i="1"/>
  <c r="H25" i="1" s="1"/>
  <c r="V14" i="1"/>
  <c r="V25" i="1" s="1"/>
  <c r="H15" i="2"/>
  <c r="Q17" i="1"/>
  <c r="Q19" i="1" s="1"/>
  <c r="Q18" i="1"/>
  <c r="V12" i="1"/>
  <c r="V16" i="1" s="1"/>
  <c r="N8" i="1"/>
  <c r="N10" i="1" s="1"/>
  <c r="H6" i="1"/>
  <c r="H8" i="1" s="1"/>
  <c r="D18" i="2" l="1"/>
  <c r="D17" i="2" s="1"/>
  <c r="L61" i="5"/>
  <c r="N60" i="5"/>
  <c r="M60" i="5"/>
  <c r="V26" i="1"/>
  <c r="V28" i="1" s="1"/>
  <c r="K2" i="3"/>
  <c r="K5" i="3" s="1"/>
  <c r="Q27" i="1"/>
  <c r="H10" i="1"/>
  <c r="D28" i="1"/>
  <c r="H26" i="1"/>
  <c r="H16" i="2"/>
  <c r="H18" i="2" s="1"/>
  <c r="V18" i="1"/>
  <c r="V17" i="1"/>
  <c r="V19" i="1" s="1"/>
  <c r="N9" i="1"/>
  <c r="N11" i="1" s="1"/>
  <c r="D9" i="1"/>
  <c r="D11" i="1" s="1"/>
  <c r="H9" i="1"/>
  <c r="H11" i="1" s="1"/>
  <c r="M61" i="5" l="1"/>
  <c r="N61" i="5"/>
  <c r="L62" i="5"/>
  <c r="V27" i="1"/>
  <c r="H17" i="2"/>
  <c r="H28" i="1"/>
  <c r="H27" i="1"/>
  <c r="N62" i="5" l="1"/>
  <c r="M62" i="5"/>
  <c r="L63" i="5"/>
  <c r="L64" i="5" l="1"/>
  <c r="N63" i="5"/>
  <c r="M63" i="5"/>
  <c r="L65" i="5" l="1"/>
  <c r="M64" i="5"/>
  <c r="N64" i="5"/>
  <c r="M65" i="5" l="1"/>
  <c r="L66" i="5"/>
  <c r="N65" i="5"/>
  <c r="N66" i="5" l="1"/>
  <c r="M66" i="5"/>
  <c r="L67" i="5"/>
  <c r="L68" i="5" l="1"/>
  <c r="N67" i="5"/>
  <c r="M67" i="5"/>
  <c r="L69" i="5" l="1"/>
  <c r="N68" i="5"/>
  <c r="M68" i="5"/>
  <c r="M69" i="5" l="1"/>
  <c r="N69" i="5"/>
  <c r="L70" i="5"/>
  <c r="N70" i="5" l="1"/>
  <c r="M70" i="5"/>
  <c r="L71" i="5"/>
  <c r="L72" i="5" l="1"/>
  <c r="N71" i="5"/>
  <c r="M71" i="5"/>
  <c r="L73" i="5" l="1"/>
  <c r="M72" i="5"/>
  <c r="N72" i="5"/>
  <c r="M73" i="5" l="1"/>
  <c r="L74" i="5"/>
  <c r="N73" i="5"/>
  <c r="N74" i="5" l="1"/>
  <c r="M74" i="5"/>
  <c r="L75" i="5"/>
  <c r="L76" i="5" l="1"/>
  <c r="N75" i="5"/>
  <c r="M75" i="5"/>
  <c r="L77" i="5" l="1"/>
  <c r="N76" i="5"/>
  <c r="M76" i="5"/>
  <c r="M77" i="5" l="1"/>
  <c r="L78" i="5"/>
  <c r="N77" i="5"/>
  <c r="N78" i="5" l="1"/>
  <c r="M78" i="5"/>
  <c r="L79" i="5"/>
  <c r="L80" i="5" l="1"/>
  <c r="N79" i="5"/>
  <c r="M79" i="5"/>
  <c r="L81" i="5" l="1"/>
  <c r="N80" i="5"/>
  <c r="M80" i="5"/>
  <c r="M81" i="5" l="1"/>
  <c r="L82" i="5"/>
  <c r="N81" i="5"/>
  <c r="N82" i="5" l="1"/>
  <c r="M82" i="5"/>
  <c r="L83" i="5"/>
  <c r="L84" i="5" l="1"/>
  <c r="N83" i="5"/>
  <c r="M83" i="5"/>
  <c r="L85" i="5" l="1"/>
  <c r="N84" i="5"/>
  <c r="M84" i="5"/>
  <c r="M85" i="5" l="1"/>
  <c r="L86" i="5"/>
  <c r="N85" i="5"/>
  <c r="N86" i="5" l="1"/>
  <c r="M86" i="5"/>
  <c r="L87" i="5"/>
  <c r="L88" i="5" l="1"/>
  <c r="N87" i="5"/>
  <c r="M87" i="5"/>
  <c r="L89" i="5" l="1"/>
  <c r="N88" i="5"/>
  <c r="M88" i="5"/>
  <c r="M89" i="5" l="1"/>
  <c r="L90" i="5"/>
  <c r="N89" i="5"/>
  <c r="N90" i="5" l="1"/>
  <c r="M90" i="5"/>
  <c r="L91" i="5"/>
  <c r="L92" i="5" l="1"/>
  <c r="N91" i="5"/>
  <c r="M91" i="5"/>
  <c r="L93" i="5" l="1"/>
  <c r="N92" i="5"/>
  <c r="M92" i="5"/>
  <c r="M93" i="5" l="1"/>
  <c r="L94" i="5"/>
  <c r="N93" i="5"/>
  <c r="N94" i="5" l="1"/>
  <c r="M94" i="5"/>
  <c r="L95" i="5"/>
  <c r="L96" i="5" l="1"/>
  <c r="N95" i="5"/>
  <c r="M95" i="5"/>
  <c r="L97" i="5" l="1"/>
  <c r="N96" i="5"/>
  <c r="M96" i="5"/>
  <c r="M97" i="5" l="1"/>
  <c r="L98" i="5"/>
  <c r="N97" i="5"/>
  <c r="N98" i="5" l="1"/>
  <c r="M98" i="5"/>
  <c r="L99" i="5"/>
  <c r="L100" i="5" l="1"/>
  <c r="N99" i="5"/>
  <c r="M99" i="5"/>
  <c r="L101" i="5" l="1"/>
  <c r="N100" i="5"/>
  <c r="M100" i="5"/>
  <c r="M101" i="5" l="1"/>
  <c r="L102" i="5"/>
  <c r="N101" i="5"/>
  <c r="N102" i="5" l="1"/>
  <c r="M102" i="5"/>
  <c r="L103" i="5"/>
  <c r="L104" i="5" l="1"/>
  <c r="N103" i="5"/>
  <c r="M103" i="5"/>
  <c r="L105" i="5" l="1"/>
  <c r="N104" i="5"/>
  <c r="M104" i="5"/>
  <c r="M105" i="5" l="1"/>
  <c r="L106" i="5"/>
  <c r="N105" i="5"/>
  <c r="N106" i="5" l="1"/>
  <c r="M106" i="5"/>
  <c r="L107" i="5"/>
  <c r="L108" i="5" l="1"/>
  <c r="N107" i="5"/>
  <c r="M107" i="5"/>
  <c r="L109" i="5" l="1"/>
  <c r="N108" i="5"/>
  <c r="M108" i="5"/>
  <c r="M109" i="5" l="1"/>
  <c r="L110" i="5"/>
  <c r="N109" i="5"/>
  <c r="N110" i="5" l="1"/>
  <c r="M11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1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Standard Normal Dist.:</t>
        </r>
        <r>
          <rPr>
            <sz val="9"/>
            <color indexed="81"/>
            <rFont val="Tahoma"/>
            <family val="2"/>
          </rPr>
          <t xml:space="preserve">
Mean = 0
Std. Dev. = 1</t>
        </r>
      </text>
    </comment>
    <comment ref="I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Standard Normal Dist.:
</t>
        </r>
        <r>
          <rPr>
            <sz val="9"/>
            <color indexed="81"/>
            <rFont val="Tahoma"/>
            <family val="2"/>
          </rPr>
          <t>Mean = 0
Std. Dev. = 1</t>
        </r>
      </text>
    </comment>
    <comment ref="H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At most/Less Than:</t>
        </r>
        <r>
          <rPr>
            <sz val="9"/>
            <color indexed="81"/>
            <rFont val="Tahoma"/>
            <family val="2"/>
          </rPr>
          <t xml:space="preserve">
-9999</t>
        </r>
      </text>
    </comment>
    <comment ref="I18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At least/Greater Than:</t>
        </r>
        <r>
          <rPr>
            <sz val="9"/>
            <color indexed="81"/>
            <rFont val="Tahoma"/>
            <family val="2"/>
          </rPr>
          <t xml:space="preserve">
9999</t>
        </r>
      </text>
    </comment>
    <comment ref="H19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When using z-score:</t>
        </r>
        <r>
          <rPr>
            <sz val="9"/>
            <color indexed="81"/>
            <rFont val="Tahoma"/>
            <family val="2"/>
          </rPr>
          <t xml:space="preserve">
Mean = 0
Std. Dev. = 1</t>
        </r>
      </text>
    </comment>
    <comment ref="I19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 xml:space="preserve">When using z-score:
</t>
        </r>
        <r>
          <rPr>
            <sz val="9"/>
            <color indexed="81"/>
            <rFont val="Tahoma"/>
            <family val="2"/>
          </rPr>
          <t>Mean = 0
Std. Dev. = 1</t>
        </r>
      </text>
    </comment>
    <comment ref="F20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Formula:</t>
        </r>
        <r>
          <rPr>
            <sz val="9"/>
            <color indexed="81"/>
            <rFont val="Tahoma"/>
            <family val="2"/>
          </rPr>
          <t xml:space="preserve">
1-P(X&lt;x)</t>
        </r>
      </text>
    </comment>
    <comment ref="G2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Z Score Formula: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u/>
            <sz val="9"/>
            <color indexed="81"/>
            <rFont val="Tahoma"/>
            <family val="2"/>
          </rPr>
          <t xml:space="preserve">       x - mean      
</t>
        </r>
        <r>
          <rPr>
            <sz val="9"/>
            <color indexed="81"/>
            <rFont val="Tahoma"/>
            <family val="2"/>
          </rPr>
          <t>standard deviation</t>
        </r>
      </text>
    </comment>
    <comment ref="E27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Formula:</t>
        </r>
        <r>
          <rPr>
            <sz val="9"/>
            <color indexed="81"/>
            <rFont val="Tahoma"/>
            <family val="2"/>
          </rPr>
          <t xml:space="preserve">
Max-Min</t>
        </r>
      </text>
    </comment>
    <comment ref="E29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Formula: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u/>
            <sz val="9"/>
            <color indexed="81"/>
            <rFont val="Tahoma"/>
            <family val="2"/>
          </rPr>
          <t>x2 - x1</t>
        </r>
        <r>
          <rPr>
            <sz val="9"/>
            <color indexed="81"/>
            <rFont val="Tahoma"/>
            <family val="2"/>
          </rPr>
          <t xml:space="preserve">
Range</t>
        </r>
      </text>
    </comment>
    <comment ref="B31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Workbook:</t>
        </r>
        <r>
          <rPr>
            <sz val="9"/>
            <color indexed="81"/>
            <rFont val="Tahoma"/>
            <family val="2"/>
          </rPr>
          <t xml:space="preserve">
Page 90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31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E.V. Formula:</t>
        </r>
        <r>
          <rPr>
            <sz val="9"/>
            <color indexed="81"/>
            <rFont val="Tahoma"/>
            <family val="2"/>
          </rPr>
          <t xml:space="preserve">
=</t>
        </r>
        <r>
          <rPr>
            <u/>
            <sz val="9"/>
            <color indexed="81"/>
            <rFont val="Tahoma"/>
            <family val="2"/>
          </rPr>
          <t>(Column Total)*(Row Total)</t>
        </r>
        <r>
          <rPr>
            <sz val="9"/>
            <color indexed="81"/>
            <rFont val="Tahoma"/>
            <family val="2"/>
          </rPr>
          <t xml:space="preserve">
             (Grand Total)</t>
        </r>
      </text>
    </comment>
  </commentList>
</comments>
</file>

<file path=xl/sharedStrings.xml><?xml version="1.0" encoding="utf-8"?>
<sst xmlns="http://schemas.openxmlformats.org/spreadsheetml/2006/main" count="567" uniqueCount="400">
  <si>
    <t>Enter the data in the blue cells.</t>
  </si>
  <si>
    <t>Factorial</t>
  </si>
  <si>
    <t xml:space="preserve">Carey Smith, Licensed under a Creative Commons Attribution-ShareAlike 4.0 International License.
</t>
  </si>
  <si>
    <t>n</t>
  </si>
  <si>
    <t>n!</t>
  </si>
  <si>
    <t>Probability Distribution Calculator links and helps</t>
  </si>
  <si>
    <t>Orange cells have calculated values.
Do not change these.</t>
  </si>
  <si>
    <t>Binomial Distribution</t>
  </si>
  <si>
    <t>https://homepage.stat.uiowa.edu/~mbognar/applets/bin.html</t>
  </si>
  <si>
    <t>--This is very easy to use</t>
  </si>
  <si>
    <t>Normal Distribution</t>
  </si>
  <si>
    <t>http://davidmlane.com/hyperstat/z_table.html</t>
  </si>
  <si>
    <t>Permutation</t>
  </si>
  <si>
    <t>https://homepage.stat.uiowa.edu/~mbognar/applets/normal.html</t>
  </si>
  <si>
    <t>r</t>
  </si>
  <si>
    <t>nPr</t>
  </si>
  <si>
    <t>t-Distribution</t>
  </si>
  <si>
    <t>https://homepage.stat.uiowa.edu/~mbognar/applets/t.html</t>
  </si>
  <si>
    <t>Chi-Squared Distribution</t>
  </si>
  <si>
    <t>https://homepage.stat.uiowa.edu/~mbognar/applets/chisq.html</t>
  </si>
  <si>
    <t>unprotect</t>
  </si>
  <si>
    <t>Poisson Distribution</t>
  </si>
  <si>
    <t>https://homepage.stat.uiowa.edu/~mbognar/applets/pois.html</t>
  </si>
  <si>
    <t>Combination</t>
  </si>
  <si>
    <t>Open Intro calculator help</t>
  </si>
  <si>
    <t>nCr</t>
  </si>
  <si>
    <t>Kathryn Kozak videos</t>
  </si>
  <si>
    <t>https://www.youtube.com/channel/UCcU2lrMQXYg-qbdMy5p9fSg/videos</t>
  </si>
  <si>
    <t>Desmos Scientific Calculator</t>
  </si>
  <si>
    <t>https://www.desmos.com/scientific</t>
  </si>
  <si>
    <t>MedCalc calculators</t>
  </si>
  <si>
    <t>https://www.medcalc.org/manual/probability_distribution_functions.php</t>
  </si>
  <si>
    <t>Binomial Probability Distribution</t>
  </si>
  <si>
    <t>Normal Distibution</t>
  </si>
  <si>
    <r>
      <rPr>
        <b/>
        <sz val="11"/>
        <color theme="1"/>
        <rFont val="Calibri"/>
        <family val="2"/>
        <scheme val="minor"/>
      </rPr>
      <t>n</t>
    </r>
    <r>
      <rPr>
        <sz val="11"/>
        <color theme="1"/>
        <rFont val="Calibri"/>
        <family val="2"/>
        <scheme val="minor"/>
      </rPr>
      <t xml:space="preserve"> = number of trials
</t>
    </r>
    <r>
      <rPr>
        <b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= probability of success</t>
    </r>
  </si>
  <si>
    <t>Enter the mean, standard deviation, 
and lower and upper limits.
This converts them to z-scores.</t>
  </si>
  <si>
    <t>Exactly x successes</t>
  </si>
  <si>
    <t>𝜇 Mean</t>
  </si>
  <si>
    <t>Less than</t>
  </si>
  <si>
    <t>p</t>
  </si>
  <si>
    <t>x</t>
  </si>
  <si>
    <t>P(X = x)</t>
  </si>
  <si>
    <t>𝜎 Std.Dev.</t>
  </si>
  <si>
    <r>
      <t xml:space="preserve">P(X ≤ x)
</t>
    </r>
    <r>
      <rPr>
        <sz val="11"/>
        <color theme="1"/>
        <rFont val="Calibri"/>
        <family val="2"/>
        <scheme val="minor"/>
      </rPr>
      <t xml:space="preserve">where 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= x-1</t>
    </r>
  </si>
  <si>
    <t>Lower 
Limit</t>
  </si>
  <si>
    <t>Upper Limit</t>
  </si>
  <si>
    <t>At most</t>
  </si>
  <si>
    <t>Cumulative Binomial Distribution</t>
  </si>
  <si>
    <t>Complement</t>
  </si>
  <si>
    <t>P(X ≤ x)</t>
  </si>
  <si>
    <r>
      <t xml:space="preserve">P(X </t>
    </r>
    <r>
      <rPr>
        <sz val="11"/>
        <color theme="1"/>
        <rFont val="Calibri"/>
        <family val="2"/>
        <scheme val="minor"/>
      </rPr>
      <t>≤</t>
    </r>
    <r>
      <rPr>
        <b/>
        <sz val="11"/>
        <color theme="1"/>
        <rFont val="Calibri"/>
        <family val="2"/>
        <scheme val="minor"/>
      </rPr>
      <t xml:space="preserve"> x)</t>
    </r>
  </si>
  <si>
    <t>P(X &gt; x)</t>
  </si>
  <si>
    <t>Z-Scores</t>
  </si>
  <si>
    <t>More than</t>
  </si>
  <si>
    <t>P(lower &lt; X &lt; Upper) =</t>
  </si>
  <si>
    <t>Between 2 values</t>
  </si>
  <si>
    <t>Inverse Normal Distribution, to the left</t>
  </si>
  <si>
    <t>At least</t>
  </si>
  <si>
    <t>x1</t>
  </si>
  <si>
    <t>x2</t>
  </si>
  <si>
    <t>P(x1 ≤ X ≤ x2)</t>
  </si>
  <si>
    <r>
      <t xml:space="preserve">Given an area (=probability), 
find c, such that </t>
    </r>
    <r>
      <rPr>
        <b/>
        <sz val="11"/>
        <color theme="1"/>
        <rFont val="Calibri"/>
        <family val="2"/>
        <scheme val="minor"/>
      </rPr>
      <t>P(x&lt;c) = area</t>
    </r>
  </si>
  <si>
    <r>
      <t xml:space="preserve">P(x1 ≤ X ≤ x2)
</t>
    </r>
    <r>
      <rPr>
        <sz val="11"/>
        <color theme="1"/>
        <rFont val="Calibri"/>
        <family val="2"/>
        <scheme val="minor"/>
      </rPr>
      <t xml:space="preserve">where
</t>
    </r>
    <r>
      <rPr>
        <b/>
        <sz val="11"/>
        <color theme="1"/>
        <rFont val="Calibri"/>
        <family val="2"/>
        <scheme val="minor"/>
      </rPr>
      <t>x1</t>
    </r>
    <r>
      <rPr>
        <sz val="11"/>
        <color theme="1"/>
        <rFont val="Calibri"/>
        <family val="2"/>
        <scheme val="minor"/>
      </rPr>
      <t xml:space="preserve"> = </t>
    </r>
    <r>
      <rPr>
        <b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x2</t>
    </r>
    <r>
      <rPr>
        <sz val="11"/>
        <color theme="1"/>
        <rFont val="Calibri"/>
        <family val="2"/>
        <scheme val="minor"/>
      </rPr>
      <t xml:space="preserve"> = </t>
    </r>
    <r>
      <rPr>
        <b/>
        <sz val="11"/>
        <color theme="1"/>
        <rFont val="Calibri"/>
        <family val="2"/>
        <scheme val="minor"/>
      </rPr>
      <t>n</t>
    </r>
  </si>
  <si>
    <t>The area (probability) must be between 0 and 1</t>
  </si>
  <si>
    <t>Continous Uniform Probability Distribution</t>
  </si>
  <si>
    <t>Enter the mean, standard deviation, and area.</t>
  </si>
  <si>
    <t>Min</t>
  </si>
  <si>
    <t>Max</t>
  </si>
  <si>
    <t>Range</t>
  </si>
  <si>
    <t>Don't change these values</t>
  </si>
  <si>
    <r>
      <t xml:space="preserve">10% = 0.10 (Area)
</t>
    </r>
    <r>
      <rPr>
        <b/>
        <sz val="11"/>
        <color theme="1"/>
        <rFont val="Calibri"/>
        <family val="2"/>
        <scheme val="minor"/>
      </rPr>
      <t>Inverse Normal Distribution</t>
    </r>
  </si>
  <si>
    <t>Graph calculations</t>
  </si>
  <si>
    <t>Normal distribuion calculations</t>
  </si>
  <si>
    <t>P(x1 &lt; x &lt; x2)</t>
  </si>
  <si>
    <t>P(x&lt;c) Area</t>
  </si>
  <si>
    <t>z</t>
  </si>
  <si>
    <t>P(x &lt; z)</t>
  </si>
  <si>
    <t>P(x = z)</t>
  </si>
  <si>
    <t xml:space="preserve">c  </t>
  </si>
  <si>
    <t>Inverse Normal Distribution, to the right</t>
  </si>
  <si>
    <t>Mean</t>
  </si>
  <si>
    <t>Std. Dev.</t>
  </si>
  <si>
    <r>
      <t xml:space="preserve">Given an area (=probability), 
find c, such that </t>
    </r>
    <r>
      <rPr>
        <b/>
        <sz val="11"/>
        <color theme="1"/>
        <rFont val="Calibri"/>
        <family val="2"/>
        <scheme val="minor"/>
      </rPr>
      <t>P(x &gt;c) = area</t>
    </r>
  </si>
  <si>
    <t>The area (probability) must be between 0.0 and 1.0</t>
  </si>
  <si>
    <t>P(x&gt;c) Area</t>
  </si>
  <si>
    <t>Category</t>
  </si>
  <si>
    <t>Frequency</t>
  </si>
  <si>
    <t>Relative
Frequency</t>
  </si>
  <si>
    <t>Ford</t>
  </si>
  <si>
    <t>Chevy</t>
  </si>
  <si>
    <t>Honda</t>
  </si>
  <si>
    <t>Toyota</t>
  </si>
  <si>
    <t>Nissan</t>
  </si>
  <si>
    <t>Others</t>
  </si>
  <si>
    <t>Bar Chart Example</t>
  </si>
  <si>
    <t>Car Maintenance</t>
  </si>
  <si>
    <t>Relative Frequency</t>
  </si>
  <si>
    <t>Total</t>
  </si>
  <si>
    <t>Histogram Maker 1</t>
  </si>
  <si>
    <t>Histogram worksheet used with permission from David Hartvigsen</t>
  </si>
  <si>
    <t>On-line histogram links:</t>
  </si>
  <si>
    <t>Class starting value:</t>
  </si>
  <si>
    <t>(https://www3.nd.edu/~dhartvig/Stats/Stats%20top.htm)</t>
  </si>
  <si>
    <t>https://www3.nd.edu/~dhartvig/Stats/Stats%20top.htm</t>
  </si>
  <si>
    <t>Class increment:</t>
  </si>
  <si>
    <t>This uses 10 bins (classes). If you have more than 10, you need to edit the chart's :Select Data"</t>
  </si>
  <si>
    <t>Classes</t>
  </si>
  <si>
    <t>http://www.shodor.org/interactivate/activities/Histogram/</t>
  </si>
  <si>
    <t>Data</t>
  </si>
  <si>
    <t>Lower Limit</t>
  </si>
  <si>
    <t>Freq.</t>
  </si>
  <si>
    <t>-</t>
  </si>
  <si>
    <t>Side calculation</t>
  </si>
  <si>
    <t>Bottom of ranges</t>
  </si>
  <si>
    <t>X</t>
  </si>
  <si>
    <t>Position</t>
  </si>
  <si>
    <r>
      <t>f</t>
    </r>
    <r>
      <rPr>
        <b/>
        <vertAlign val="subscript"/>
        <sz val="12"/>
        <color theme="1"/>
        <rFont val="Calibri"/>
        <family val="2"/>
        <scheme val="minor"/>
      </rPr>
      <t>i</t>
    </r>
  </si>
  <si>
    <t>Z-value</t>
  </si>
  <si>
    <t>Normality Plot = Normal Probability Plot = Q-Q Plot</t>
  </si>
  <si>
    <t>Enter sorted data in column A (blue)</t>
  </si>
  <si>
    <t>Pink or Orange cells have calculated values. Do not change these.</t>
  </si>
  <si>
    <t>Columns B, C, and D need to match the data.</t>
  </si>
  <si>
    <t>Delete or add (copy) cells when the number of data values changes</t>
  </si>
  <si>
    <t>Number of data points:</t>
  </si>
  <si>
    <t>https://www.youtube.com/watch?v=3BqWqECOqEc</t>
  </si>
  <si>
    <t>https://www.youtube.com/watch?v=smJBsZ4YQZw</t>
  </si>
  <si>
    <t>Extra cells in columns B,C,D are not plotted, so it's OK to leave them.</t>
  </si>
  <si>
    <t>1 Variable</t>
  </si>
  <si>
    <t>Weighted Average</t>
  </si>
  <si>
    <t>Enter the data in column C (blue)</t>
  </si>
  <si>
    <t>Summary
Statistics</t>
  </si>
  <si>
    <t>Data (X)
(Decimals 
or percents)</t>
  </si>
  <si>
    <t>Weights or Probabilities
(Proportions,
not  percents)</t>
  </si>
  <si>
    <t>Data (X)
times
Weight</t>
  </si>
  <si>
    <t>Weighted
Average</t>
  </si>
  <si>
    <t>Deviation^2
times
Weight</t>
  </si>
  <si>
    <t>Variance</t>
  </si>
  <si>
    <t>Box Plot
(using
Excel's
Q1,Q3)</t>
  </si>
  <si>
    <t>Uses the data in Col C</t>
  </si>
  <si>
    <t>Orange cells have calculated values.</t>
  </si>
  <si>
    <t>n (sample size)</t>
  </si>
  <si>
    <t>Stats</t>
  </si>
  <si>
    <t>Q1.Exclusive</t>
  </si>
  <si>
    <t>Do not change these.</t>
  </si>
  <si>
    <t>Sample Mean</t>
  </si>
  <si>
    <t>Chem</t>
  </si>
  <si>
    <t>Q1.Inclusive</t>
  </si>
  <si>
    <t>The algorithm to compute the 1st and 3rd quartiles (Q1 and Q3) in MyOpenMath is different than those in Excel.</t>
  </si>
  <si>
    <t>Sample 
Standard
Deviation</t>
  </si>
  <si>
    <t>Tennis</t>
  </si>
  <si>
    <t>Standard
Deviation</t>
  </si>
  <si>
    <t>Q1 avg</t>
  </si>
  <si>
    <t>The algorithms in StatCrunch and the TI 83/84 and Casio (750 calculators are the same as in MyOpenMath.</t>
  </si>
  <si>
    <t>Population 
Std. Dev.</t>
  </si>
  <si>
    <t>Eng</t>
  </si>
  <si>
    <t>Sum of weights</t>
  </si>
  <si>
    <t>Q3.Exclusive</t>
  </si>
  <si>
    <t>Minimum</t>
  </si>
  <si>
    <t>Speech</t>
  </si>
  <si>
    <t>Q3.Inclusive</t>
  </si>
  <si>
    <t>Q3 avg</t>
  </si>
  <si>
    <r>
      <t xml:space="preserve">A </t>
    </r>
    <r>
      <rPr>
        <b/>
        <sz val="11"/>
        <color theme="1"/>
        <rFont val="Calibri"/>
        <family val="2"/>
        <scheme val="minor"/>
      </rPr>
      <t xml:space="preserve">Box Plot </t>
    </r>
    <r>
      <rPr>
        <sz val="11"/>
        <color theme="1"/>
        <rFont val="Calibri"/>
        <family val="2"/>
        <scheme val="minor"/>
      </rPr>
      <t>is shown in columns S to Z</t>
    </r>
  </si>
  <si>
    <t>Median</t>
  </si>
  <si>
    <t>IQR</t>
  </si>
  <si>
    <t>If you want to compute Quartiles in Excel, do these steps:</t>
  </si>
  <si>
    <t>1. Highlight column C</t>
  </si>
  <si>
    <t>Maximum</t>
  </si>
  <si>
    <t>Box</t>
  </si>
  <si>
    <t>y</t>
  </si>
  <si>
    <r>
      <t xml:space="preserve">2. Click: </t>
    </r>
    <r>
      <rPr>
        <b/>
        <sz val="11"/>
        <color theme="1"/>
        <rFont val="Calibri"/>
        <family val="2"/>
        <scheme val="minor"/>
      </rPr>
      <t>Data-&gt; Sort &amp; Filter-&gt; AZ</t>
    </r>
    <r>
      <rPr>
        <b/>
        <sz val="11"/>
        <color theme="1"/>
        <rFont val="Symbol"/>
        <family val="1"/>
        <charset val="2"/>
      </rPr>
      <t>¯</t>
    </r>
  </si>
  <si>
    <t>upper left</t>
  </si>
  <si>
    <t>3. Select "Continue with the current selection"</t>
  </si>
  <si>
    <t>lower left</t>
  </si>
  <si>
    <t>(Do not select "expand selection".</t>
  </si>
  <si>
    <t>lower right</t>
  </si>
  <si>
    <t>That would re-order the other columns.)</t>
  </si>
  <si>
    <t>upper right</t>
  </si>
  <si>
    <r>
      <t xml:space="preserve">There are several algorithms to compute the </t>
    </r>
    <r>
      <rPr>
        <b/>
        <sz val="11"/>
        <color theme="1"/>
        <rFont val="Calibri"/>
        <family val="2"/>
        <scheme val="minor"/>
      </rPr>
      <t>Q1 and Q3 quartiles</t>
    </r>
    <r>
      <rPr>
        <sz val="11"/>
        <color theme="1"/>
        <rFont val="Calibri"/>
        <family val="2"/>
        <scheme val="minor"/>
      </rPr>
      <t>. Excel has 2 algorithms, both of which can sometimes disagree with the algorithm in Kathryn Kozak's textbook. 
So , use the instructions below, instead of Excel's algorithms.</t>
    </r>
  </si>
  <si>
    <r>
      <rPr>
        <b/>
        <sz val="11"/>
        <color theme="1"/>
        <rFont val="Calibri"/>
        <family val="2"/>
        <scheme val="minor"/>
      </rPr>
      <t>Q1</t>
    </r>
    <r>
      <rPr>
        <sz val="11"/>
        <color theme="1"/>
        <rFont val="Calibri"/>
        <family val="2"/>
        <scheme val="minor"/>
      </rPr>
      <t xml:space="preserve"> is the median of the data below the median.  (Do not include the median.) 
Use the Median(  ) function on just this 1/2 of the data to compute Q1</t>
    </r>
  </si>
  <si>
    <t>Upper Median</t>
  </si>
  <si>
    <r>
      <rPr>
        <b/>
        <sz val="11"/>
        <color theme="1"/>
        <rFont val="Calibri"/>
        <family val="2"/>
        <scheme val="minor"/>
      </rPr>
      <t>Q3</t>
    </r>
    <r>
      <rPr>
        <sz val="11"/>
        <color theme="1"/>
        <rFont val="Calibri"/>
        <family val="2"/>
        <scheme val="minor"/>
      </rPr>
      <t xml:space="preserve"> is the median of the data above the median. (Do not include the median) 
Use the Median(  ) function on just this 1/2 of the data to compute Q3</t>
    </r>
  </si>
  <si>
    <t>Lower Median</t>
  </si>
  <si>
    <r>
      <t xml:space="preserve">An Approximate </t>
    </r>
    <r>
      <rPr>
        <b/>
        <sz val="11"/>
        <color theme="1"/>
        <rFont val="Calibri"/>
        <family val="2"/>
        <scheme val="minor"/>
      </rPr>
      <t xml:space="preserve">Box plot </t>
    </r>
    <r>
      <rPr>
        <sz val="11"/>
        <color theme="1"/>
        <rFont val="Calibri"/>
        <family val="2"/>
        <scheme val="minor"/>
      </rPr>
      <t>is created in columns P to Z, using the average of Excel's Q1,Q3 algorithms</t>
    </r>
  </si>
  <si>
    <t>Fence left</t>
  </si>
  <si>
    <t>The link below has an app will create the boxplot, but it does not display Q1 and Q3.</t>
  </si>
  <si>
    <t>Upper Fence right</t>
  </si>
  <si>
    <t>However, those can be figured-out from the boxplot, usually with enough accuracy.</t>
  </si>
  <si>
    <t>https://www.meta-chart.com/box-and-whisker#/display</t>
  </si>
  <si>
    <t>1. Choose the appropriate Z-Test</t>
  </si>
  <si>
    <t>1-Sample Proportion
Z-Test w/ Summary Stats</t>
  </si>
  <si>
    <t>2-Indep. Proportion
Z-Test w/ Summary Stats</t>
  </si>
  <si>
    <t>2a. Enter the summary statistics in the green cells.</t>
  </si>
  <si>
    <t>x (num. of successes)</t>
  </si>
  <si>
    <t>x1 (num. of successes)</t>
  </si>
  <si>
    <t>n1 (sample size)</t>
  </si>
  <si>
    <t>Sample proportion</t>
  </si>
  <si>
    <t>Sample proportion 1</t>
  </si>
  <si>
    <t>SE1</t>
  </si>
  <si>
    <t>x2 (num. of successes)</t>
  </si>
  <si>
    <t>3. Orange cells have calculated values. 
Do not change these.</t>
  </si>
  <si>
    <t>n2 (sample size)</t>
  </si>
  <si>
    <t>Sample proportion 2</t>
  </si>
  <si>
    <t>SE2</t>
  </si>
  <si>
    <r>
      <t>H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: p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 =</t>
    </r>
  </si>
  <si>
    <r>
      <t>H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: p</t>
    </r>
    <r>
      <rPr>
        <vertAlign val="subscript"/>
        <sz val="11"/>
        <color theme="1"/>
        <rFont val="Calibri"/>
        <family val="2"/>
        <scheme val="minor"/>
      </rPr>
      <t>diff</t>
    </r>
    <r>
      <rPr>
        <sz val="11"/>
        <color theme="1"/>
        <rFont val="Calibri"/>
        <family val="2"/>
        <scheme val="minor"/>
      </rPr>
      <t xml:space="preserve"> =p1-p2</t>
    </r>
  </si>
  <si>
    <t>Assume there is no difference</t>
  </si>
  <si>
    <t>Difference of proportions</t>
  </si>
  <si>
    <t>Pooled Sample Proportion</t>
  </si>
  <si>
    <r>
      <t>H</t>
    </r>
    <r>
      <rPr>
        <b/>
        <vertAlign val="subscript"/>
        <sz val="11"/>
        <color theme="1"/>
        <rFont val="Calibri"/>
        <family val="2"/>
        <scheme val="minor"/>
      </rPr>
      <t>0</t>
    </r>
    <r>
      <rPr>
        <b/>
        <sz val="11"/>
        <color theme="1"/>
        <rFont val="Calibri"/>
        <family val="2"/>
        <scheme val="minor"/>
      </rPr>
      <t xml:space="preserve"> SE</t>
    </r>
  </si>
  <si>
    <r>
      <t>SE</t>
    </r>
    <r>
      <rPr>
        <b/>
        <vertAlign val="subscript"/>
        <sz val="11"/>
        <color theme="1"/>
        <rFont val="Calibri"/>
        <family val="2"/>
        <scheme val="minor"/>
      </rPr>
      <t>Diff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(Pooled since H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
assumes p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=p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</si>
  <si>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t>Sample difference= p1-p2</t>
  </si>
  <si>
    <t>Z-statistic</t>
  </si>
  <si>
    <t>Z statistic</t>
  </si>
  <si>
    <r>
      <t>H</t>
    </r>
    <r>
      <rPr>
        <b/>
        <vertAlign val="subscript"/>
        <sz val="11"/>
        <color theme="1"/>
        <rFont val="Calibri"/>
        <family val="2"/>
        <scheme val="minor"/>
      </rPr>
      <t>A</t>
    </r>
    <r>
      <rPr>
        <b/>
        <sz val="11"/>
        <color theme="1"/>
        <rFont val="Calibri"/>
        <family val="2"/>
        <scheme val="minor"/>
      </rPr>
      <t>: p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&lt; p</t>
    </r>
    <r>
      <rPr>
        <b/>
        <vertAlign val="subscript"/>
        <sz val="11"/>
        <color theme="1"/>
        <rFont val="Calibri"/>
        <family val="2"/>
        <scheme val="minor"/>
      </rPr>
      <t>0</t>
    </r>
    <r>
      <rPr>
        <b/>
        <sz val="11"/>
        <color theme="1"/>
        <rFont val="Calibri"/>
        <family val="2"/>
        <scheme val="minor"/>
      </rPr>
      <t xml:space="preserve">
Left-tail P-Value</t>
    </r>
  </si>
  <si>
    <r>
      <t>HA: p</t>
    </r>
    <r>
      <rPr>
        <b/>
        <vertAlign val="subscript"/>
        <sz val="11"/>
        <color theme="1"/>
        <rFont val="Calibri"/>
        <family val="2"/>
        <scheme val="minor"/>
      </rPr>
      <t>diff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bscript"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&lt; 0
Left-tail P-Value</t>
    </r>
  </si>
  <si>
    <r>
      <t>H</t>
    </r>
    <r>
      <rPr>
        <b/>
        <vertAlign val="subscript"/>
        <sz val="11"/>
        <color theme="1"/>
        <rFont val="Calibri"/>
        <family val="2"/>
        <scheme val="minor"/>
      </rPr>
      <t>A</t>
    </r>
    <r>
      <rPr>
        <b/>
        <sz val="11"/>
        <color theme="1"/>
        <rFont val="Calibri"/>
        <family val="2"/>
        <scheme val="minor"/>
      </rPr>
      <t>: p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Symbol"/>
        <family val="1"/>
        <charset val="2"/>
      </rPr>
      <t>¹</t>
    </r>
    <r>
      <rPr>
        <b/>
        <sz val="11"/>
        <color theme="1"/>
        <rFont val="Calibri"/>
        <family val="2"/>
        <scheme val="minor"/>
      </rPr>
      <t xml:space="preserve"> p</t>
    </r>
    <r>
      <rPr>
        <b/>
        <vertAlign val="subscript"/>
        <sz val="11"/>
        <color theme="1"/>
        <rFont val="Calibri"/>
        <family val="2"/>
        <scheme val="minor"/>
      </rPr>
      <t>0</t>
    </r>
    <r>
      <rPr>
        <b/>
        <sz val="11"/>
        <color theme="1"/>
        <rFont val="Calibri"/>
        <family val="2"/>
        <scheme val="minor"/>
      </rPr>
      <t xml:space="preserve">
2-Tail  P-Value</t>
    </r>
  </si>
  <si>
    <r>
      <t>H</t>
    </r>
    <r>
      <rPr>
        <b/>
        <vertAlign val="subscript"/>
        <sz val="11"/>
        <color theme="1"/>
        <rFont val="Calibri"/>
        <family val="2"/>
        <scheme val="minor"/>
      </rPr>
      <t>A</t>
    </r>
    <r>
      <rPr>
        <b/>
        <sz val="11"/>
        <color theme="1"/>
        <rFont val="Calibri"/>
        <family val="2"/>
        <scheme val="minor"/>
      </rPr>
      <t>: p</t>
    </r>
    <r>
      <rPr>
        <b/>
        <vertAlign val="subscript"/>
        <sz val="11"/>
        <color theme="1"/>
        <rFont val="Calibri"/>
        <family val="2"/>
        <scheme val="minor"/>
      </rPr>
      <t xml:space="preserve">diff </t>
    </r>
    <r>
      <rPr>
        <b/>
        <sz val="11"/>
        <color theme="1"/>
        <rFont val="Symbol"/>
        <family val="1"/>
        <charset val="2"/>
      </rPr>
      <t>¹</t>
    </r>
    <r>
      <rPr>
        <b/>
        <sz val="11"/>
        <color theme="1"/>
        <rFont val="Calibri"/>
        <family val="2"/>
        <scheme val="minor"/>
      </rPr>
      <t xml:space="preserve"> 0
2-Tail  P-Value</t>
    </r>
  </si>
  <si>
    <r>
      <t>H</t>
    </r>
    <r>
      <rPr>
        <b/>
        <vertAlign val="subscript"/>
        <sz val="11"/>
        <color theme="1"/>
        <rFont val="Calibri"/>
        <family val="2"/>
        <scheme val="minor"/>
      </rPr>
      <t>A</t>
    </r>
    <r>
      <rPr>
        <b/>
        <sz val="11"/>
        <color theme="1"/>
        <rFont val="Calibri"/>
        <family val="2"/>
        <scheme val="minor"/>
      </rPr>
      <t>: p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&gt; p</t>
    </r>
    <r>
      <rPr>
        <b/>
        <vertAlign val="subscript"/>
        <sz val="11"/>
        <color theme="1"/>
        <rFont val="Calibri"/>
        <family val="2"/>
        <scheme val="minor"/>
      </rPr>
      <t>0</t>
    </r>
    <r>
      <rPr>
        <b/>
        <sz val="11"/>
        <color theme="1"/>
        <rFont val="Calibri"/>
        <family val="2"/>
        <scheme val="minor"/>
      </rPr>
      <t xml:space="preserve">
Right-tail  P-Value</t>
    </r>
  </si>
  <si>
    <r>
      <t>H</t>
    </r>
    <r>
      <rPr>
        <b/>
        <vertAlign val="subscript"/>
        <sz val="11"/>
        <color theme="1"/>
        <rFont val="Calibri"/>
        <family val="2"/>
        <scheme val="minor"/>
      </rPr>
      <t>A</t>
    </r>
    <r>
      <rPr>
        <b/>
        <sz val="11"/>
        <color theme="1"/>
        <rFont val="Calibri"/>
        <family val="2"/>
        <scheme val="minor"/>
      </rPr>
      <t>: p</t>
    </r>
    <r>
      <rPr>
        <b/>
        <vertAlign val="subscript"/>
        <sz val="11"/>
        <color theme="1"/>
        <rFont val="Calibri"/>
        <family val="2"/>
        <scheme val="minor"/>
      </rPr>
      <t xml:space="preserve">diff </t>
    </r>
    <r>
      <rPr>
        <b/>
        <sz val="11"/>
        <color theme="1"/>
        <rFont val="Calibri"/>
        <family val="2"/>
        <scheme val="minor"/>
      </rPr>
      <t>&gt;0
Right-tail P-Value</t>
    </r>
  </si>
  <si>
    <r>
      <t>Confidence Interval for p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</si>
  <si>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Confidence Interval for p</t>
    </r>
    <r>
      <rPr>
        <b/>
        <vertAlign val="subscript"/>
        <sz val="11"/>
        <color theme="1"/>
        <rFont val="Calibri"/>
        <family val="2"/>
        <scheme val="minor"/>
      </rPr>
      <t>diff</t>
    </r>
  </si>
  <si>
    <t>Enter n, x above
Enter the Conf. level here</t>
  </si>
  <si>
    <t>Confidence Level
(a decimal, not a %)</t>
  </si>
  <si>
    <r>
      <t xml:space="preserve">Sample SE
</t>
    </r>
    <r>
      <rPr>
        <sz val="11"/>
        <color theme="1"/>
        <rFont val="Calibri"/>
        <family val="2"/>
        <scheme val="minor"/>
      </rPr>
      <t>Becuz H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 doesn't apply)</t>
    </r>
  </si>
  <si>
    <r>
      <t>SE</t>
    </r>
    <r>
      <rPr>
        <b/>
        <vertAlign val="subscript"/>
        <sz val="11"/>
        <color theme="1"/>
        <rFont val="Calibri"/>
        <family val="2"/>
        <scheme val="minor"/>
      </rPr>
      <t>diff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</t>
    </r>
    <r>
      <rPr>
        <u/>
        <sz val="11"/>
        <color theme="1"/>
        <rFont val="Calibri"/>
        <family val="2"/>
        <scheme val="minor"/>
      </rPr>
      <t>Not pooled for the 
Conf. Interval</t>
    </r>
    <r>
      <rPr>
        <sz val="11"/>
        <color theme="1"/>
        <rFont val="Calibri"/>
        <family val="2"/>
        <scheme val="minor"/>
      </rPr>
      <t xml:space="preserve">, 
since no hypothesis.) </t>
    </r>
  </si>
  <si>
    <r>
      <t xml:space="preserve">Sig. level, </t>
    </r>
    <r>
      <rPr>
        <sz val="11"/>
        <color theme="1"/>
        <rFont val="Symbol"/>
        <family val="1"/>
        <charset val="2"/>
      </rPr>
      <t>a</t>
    </r>
  </si>
  <si>
    <t>a/2</t>
  </si>
  <si>
    <r>
      <t>z</t>
    </r>
    <r>
      <rPr>
        <vertAlign val="subscript"/>
        <sz val="11"/>
        <color theme="1"/>
        <rFont val="Symbol"/>
        <family val="1"/>
        <charset val="2"/>
      </rPr>
      <t>a</t>
    </r>
    <r>
      <rPr>
        <vertAlign val="subscript"/>
        <sz val="11"/>
        <color theme="1"/>
        <rFont val="Calibri"/>
        <family val="2"/>
        <scheme val="minor"/>
      </rPr>
      <t>/2</t>
    </r>
  </si>
  <si>
    <t>Margin of Error, E</t>
  </si>
  <si>
    <t>Conf. Interval for p1</t>
  </si>
  <si>
    <r>
      <t>Conf. Interval for p</t>
    </r>
    <r>
      <rPr>
        <vertAlign val="subscript"/>
        <sz val="11"/>
        <color theme="1"/>
        <rFont val="Calibri"/>
        <family val="2"/>
        <scheme val="minor"/>
      </rPr>
      <t>diff</t>
    </r>
  </si>
  <si>
    <t>1. Choose the appropriate test</t>
  </si>
  <si>
    <t>1-Sample T- Test
 w/ Summary Stats</t>
  </si>
  <si>
    <t>1-Sample T- Test
w/ Data</t>
  </si>
  <si>
    <t>Matched
Pairs
Data1</t>
  </si>
  <si>
    <t>Matched
Pairs
Data2</t>
  </si>
  <si>
    <t>X1-X2*</t>
  </si>
  <si>
    <t>Matched Pairs T- Test
w/ Data</t>
  </si>
  <si>
    <t>2-Indep. T- Test
w/ Summary Stats</t>
  </si>
  <si>
    <t>Indep.
Data1</t>
  </si>
  <si>
    <t>Indep.
Data2</t>
  </si>
  <si>
    <t>2-Indep. T- Test
w/ Data</t>
  </si>
  <si>
    <r>
      <t>Sample Mean, m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</si>
  <si>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Mean Difference, m</t>
    </r>
    <r>
      <rPr>
        <b/>
        <vertAlign val="subscript"/>
        <sz val="11"/>
        <color theme="1"/>
        <rFont val="Calibri"/>
        <family val="2"/>
        <scheme val="minor"/>
      </rPr>
      <t>d</t>
    </r>
  </si>
  <si>
    <t>Mean1</t>
  </si>
  <si>
    <t>Sample Std.Dev.</t>
  </si>
  <si>
    <t>Std.Dev.1</t>
  </si>
  <si>
    <r>
      <t>n</t>
    </r>
    <r>
      <rPr>
        <vertAlign val="subscript"/>
        <sz val="11"/>
        <color theme="1"/>
        <rFont val="Calibri"/>
        <family val="2"/>
        <scheme val="minor"/>
      </rPr>
      <t>diff</t>
    </r>
  </si>
  <si>
    <t>n1</t>
  </si>
  <si>
    <t>2b.Or Enter the data in the blue cells.</t>
  </si>
  <si>
    <t>Degs. of Freedom</t>
  </si>
  <si>
    <t>DF1</t>
  </si>
  <si>
    <r>
      <t>SE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</si>
  <si>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>SE</t>
    </r>
    <r>
      <rPr>
        <b/>
        <vertAlign val="subscript"/>
        <sz val="11"/>
        <color theme="1"/>
        <rFont val="Calibri"/>
        <family val="2"/>
        <scheme val="minor"/>
      </rPr>
      <t>diff</t>
    </r>
  </si>
  <si>
    <r>
      <t>SE</t>
    </r>
    <r>
      <rPr>
        <vertAlign val="subscript"/>
        <sz val="11"/>
        <color theme="1"/>
        <rFont val="Calibri"/>
        <family val="2"/>
        <scheme val="minor"/>
      </rPr>
      <t>1</t>
    </r>
  </si>
  <si>
    <t>3. Orange cells have calculated values.
Do not change these.</t>
  </si>
  <si>
    <r>
      <t>H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: µ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 =</t>
    </r>
  </si>
  <si>
    <r>
      <t>H</t>
    </r>
    <r>
      <rPr>
        <b/>
        <vertAlign val="subscript"/>
        <sz val="11"/>
        <color theme="1"/>
        <rFont val="Calibri"/>
        <family val="2"/>
        <scheme val="minor"/>
      </rPr>
      <t>0</t>
    </r>
    <r>
      <rPr>
        <b/>
        <sz val="11"/>
        <color theme="1"/>
        <rFont val="Calibri"/>
        <family val="2"/>
        <scheme val="minor"/>
      </rPr>
      <t>: µ</t>
    </r>
    <r>
      <rPr>
        <b/>
        <vertAlign val="subscript"/>
        <sz val="11"/>
        <color theme="1"/>
        <rFont val="Calibri"/>
        <family val="2"/>
        <scheme val="minor"/>
      </rPr>
      <t xml:space="preserve">d </t>
    </r>
    <r>
      <rPr>
        <b/>
        <sz val="11"/>
        <color theme="1"/>
        <rFont val="Calibri"/>
        <family val="2"/>
        <scheme val="minor"/>
      </rPr>
      <t>= µ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-µ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</si>
  <si>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Mean2</t>
  </si>
  <si>
    <t>t statistic</t>
  </si>
  <si>
    <t>Std.Dev.2</t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</si>
  <si>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&lt; µ</t>
    </r>
    <r>
      <rPr>
        <b/>
        <vertAlign val="subscript"/>
        <sz val="11"/>
        <color theme="1"/>
        <rFont val="Calibri"/>
        <family val="2"/>
        <scheme val="minor"/>
      </rPr>
      <t>0</t>
    </r>
    <r>
      <rPr>
        <b/>
        <sz val="11"/>
        <color theme="1"/>
        <rFont val="Calibri"/>
        <family val="2"/>
        <scheme val="minor"/>
      </rPr>
      <t xml:space="preserve">
Left-tail P-Value</t>
    </r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</si>
  <si>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 xml:space="preserve">d </t>
    </r>
    <r>
      <rPr>
        <b/>
        <sz val="11"/>
        <color theme="1"/>
        <rFont val="Calibri"/>
        <family val="2"/>
        <scheme val="minor"/>
      </rPr>
      <t>&lt; 0
Left-tail P-Value</t>
    </r>
  </si>
  <si>
    <t>n2</t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</si>
  <si>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Symbol"/>
        <family val="1"/>
        <charset val="2"/>
      </rPr>
      <t>¹</t>
    </r>
    <r>
      <rPr>
        <b/>
        <sz val="11"/>
        <color theme="1"/>
        <rFont val="Calibri"/>
        <family val="2"/>
        <scheme val="minor"/>
      </rPr>
      <t xml:space="preserve"> µ</t>
    </r>
    <r>
      <rPr>
        <b/>
        <vertAlign val="subscript"/>
        <sz val="11"/>
        <color theme="1"/>
        <rFont val="Calibri"/>
        <family val="2"/>
        <scheme val="minor"/>
      </rPr>
      <t>0</t>
    </r>
    <r>
      <rPr>
        <b/>
        <sz val="11"/>
        <color theme="1"/>
        <rFont val="Calibri"/>
        <family val="2"/>
        <scheme val="minor"/>
      </rPr>
      <t xml:space="preserve">
2-Tail  P-Value</t>
    </r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</si>
  <si>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 xml:space="preserve">d </t>
    </r>
    <r>
      <rPr>
        <b/>
        <sz val="11"/>
        <color theme="1"/>
        <rFont val="Symbol"/>
        <family val="1"/>
        <charset val="2"/>
      </rPr>
      <t>¹</t>
    </r>
    <r>
      <rPr>
        <b/>
        <sz val="11"/>
        <color theme="1"/>
        <rFont val="Calibri"/>
        <family val="2"/>
        <scheme val="minor"/>
      </rPr>
      <t xml:space="preserve"> 0
2-Tail  P-Value</t>
    </r>
  </si>
  <si>
    <t>DF2</t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</si>
  <si>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&gt; µ</t>
    </r>
    <r>
      <rPr>
        <b/>
        <vertAlign val="subscript"/>
        <sz val="11"/>
        <color theme="1"/>
        <rFont val="Calibri"/>
        <family val="2"/>
        <scheme val="minor"/>
      </rPr>
      <t>0</t>
    </r>
    <r>
      <rPr>
        <b/>
        <sz val="11"/>
        <color theme="1"/>
        <rFont val="Calibri"/>
        <family val="2"/>
        <scheme val="minor"/>
      </rPr>
      <t xml:space="preserve">
Right-tail  P-Value</t>
    </r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</si>
  <si>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 xml:space="preserve">d </t>
    </r>
    <r>
      <rPr>
        <b/>
        <sz val="11"/>
        <color theme="1"/>
        <rFont val="Calibri"/>
        <family val="2"/>
        <scheme val="minor"/>
      </rPr>
      <t>&gt; 0
Right-tail  P-Value</t>
    </r>
  </si>
  <si>
    <r>
      <t>SE</t>
    </r>
    <r>
      <rPr>
        <vertAlign val="subscript"/>
        <sz val="11"/>
        <color theme="1"/>
        <rFont val="Calibri"/>
        <family val="2"/>
        <scheme val="minor"/>
      </rPr>
      <t>2</t>
    </r>
  </si>
  <si>
    <t>*If needed, copy cell L2 down to the row of last data value.
Delete any differences in col. L below the data.</t>
  </si>
  <si>
    <r>
      <rPr>
        <sz val="11"/>
        <color theme="1"/>
        <rFont val="Calibri"/>
        <family val="2"/>
        <scheme val="minor"/>
      </rPr>
      <t xml:space="preserve">(Not pooled) </t>
    </r>
    <r>
      <rPr>
        <b/>
        <sz val="11"/>
        <color theme="1"/>
        <rFont val="Calibri"/>
        <family val="2"/>
        <scheme val="minor"/>
      </rPr>
      <t>SE</t>
    </r>
    <r>
      <rPr>
        <b/>
        <vertAlign val="subscript"/>
        <sz val="11"/>
        <color theme="1"/>
        <rFont val="Calibri"/>
        <family val="2"/>
        <scheme val="minor"/>
      </rPr>
      <t>diff</t>
    </r>
  </si>
  <si>
    <t>(Conf. Interval 
calc. is below.)</t>
  </si>
  <si>
    <t>Sample diff. of Means: m1-m2</t>
  </si>
  <si>
    <r>
      <t>DF</t>
    </r>
    <r>
      <rPr>
        <vertAlign val="subscript"/>
        <sz val="11"/>
        <color theme="1"/>
        <rFont val="Calibri"/>
        <family val="2"/>
        <scheme val="minor"/>
      </rPr>
      <t>diff</t>
    </r>
  </si>
  <si>
    <r>
      <t>H0: µ</t>
    </r>
    <r>
      <rPr>
        <b/>
        <vertAlign val="subscript"/>
        <sz val="11"/>
        <color theme="1"/>
        <rFont val="Calibri"/>
        <family val="2"/>
        <scheme val="minor"/>
      </rPr>
      <t xml:space="preserve">d </t>
    </r>
    <r>
      <rPr>
        <b/>
        <sz val="11"/>
        <color theme="1"/>
        <rFont val="Calibri"/>
        <family val="2"/>
        <scheme val="minor"/>
      </rPr>
      <t>= µ</t>
    </r>
    <r>
      <rPr>
        <b/>
        <vertAlign val="subscript"/>
        <sz val="11"/>
        <color theme="1"/>
        <rFont val="Calibri"/>
        <family val="2"/>
        <scheme val="minor"/>
      </rPr>
      <t>1</t>
    </r>
    <r>
      <rPr>
        <b/>
        <sz val="11"/>
        <color theme="1"/>
        <rFont val="Calibri"/>
        <family val="2"/>
        <scheme val="minor"/>
      </rPr>
      <t>-µ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</si>
  <si>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>diff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vertAlign val="subscript"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&lt; 0
Left-tail P-Value</t>
    </r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</si>
  <si>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 xml:space="preserve">diff </t>
    </r>
    <r>
      <rPr>
        <b/>
        <sz val="11"/>
        <color theme="1"/>
        <rFont val="Symbol"/>
        <family val="1"/>
        <charset val="2"/>
      </rPr>
      <t>¹</t>
    </r>
    <r>
      <rPr>
        <b/>
        <sz val="11"/>
        <color theme="1"/>
        <rFont val="Calibri"/>
        <family val="2"/>
        <scheme val="minor"/>
      </rPr>
      <t xml:space="preserve"> 0
2-Tail  P-Value</t>
    </r>
  </si>
  <si>
    <r>
      <t>HA: µ</t>
    </r>
    <r>
      <rPr>
        <b/>
        <vertAlign val="subscript"/>
        <sz val="11"/>
        <color theme="1"/>
        <rFont val="Calibri"/>
        <family val="2"/>
        <scheme val="minor"/>
      </rPr>
      <t xml:space="preserve">diff </t>
    </r>
    <r>
      <rPr>
        <b/>
        <sz val="11"/>
        <color theme="1"/>
        <rFont val="Calibri"/>
        <family val="2"/>
        <scheme val="minor"/>
      </rPr>
      <t>&gt;0
Right-tail P-Value</t>
    </r>
  </si>
  <si>
    <r>
      <t>Confidence Interval for µ</t>
    </r>
    <r>
      <rPr>
        <b/>
        <vertAlign val="subscript"/>
        <sz val="11"/>
        <color theme="1"/>
        <rFont val="Calibri"/>
        <family val="2"/>
        <scheme val="minor"/>
      </rPr>
      <t>1</t>
    </r>
  </si>
  <si>
    <r>
      <t xml:space="preserve">Confidence Interval for </t>
    </r>
    <r>
      <rPr>
        <b/>
        <sz val="11"/>
        <color theme="1"/>
        <rFont val="Calibri"/>
        <family val="2"/>
      </rPr>
      <t>µ</t>
    </r>
  </si>
  <si>
    <r>
      <t>Confidence Interval for µ</t>
    </r>
    <r>
      <rPr>
        <b/>
        <vertAlign val="subscript"/>
        <sz val="11"/>
        <color theme="1"/>
        <rFont val="Calibri"/>
        <family val="2"/>
        <scheme val="minor"/>
      </rPr>
      <t>diff</t>
    </r>
  </si>
  <si>
    <t>Enter the sample mean, std. dev., &amp; n above</t>
  </si>
  <si>
    <t>Enter the data above</t>
  </si>
  <si>
    <t>Enter the sample means, std. dev.'s, etc., above</t>
  </si>
  <si>
    <r>
      <t>t</t>
    </r>
    <r>
      <rPr>
        <vertAlign val="subscript"/>
        <sz val="11"/>
        <color theme="1"/>
        <rFont val="Symbol"/>
        <family val="1"/>
        <charset val="2"/>
      </rPr>
      <t>a</t>
    </r>
    <r>
      <rPr>
        <vertAlign val="subscript"/>
        <sz val="11"/>
        <color theme="1"/>
        <rFont val="Calibri"/>
        <family val="2"/>
        <scheme val="minor"/>
      </rPr>
      <t>/2</t>
    </r>
  </si>
  <si>
    <t>Y</t>
  </si>
  <si>
    <t>predicted*
y=mx+b</t>
  </si>
  <si>
    <t>Residual*
=y-predicted</t>
  </si>
  <si>
    <t>Correlation and
Linear Regression</t>
  </si>
  <si>
    <t>DF</t>
  </si>
  <si>
    <r>
      <rPr>
        <b/>
        <sz val="11"/>
        <color theme="1"/>
        <rFont val="Symbol"/>
        <family val="1"/>
        <charset val="2"/>
      </rPr>
      <t>a</t>
    </r>
    <r>
      <rPr>
        <b/>
        <sz val="9.9"/>
        <color theme="1"/>
        <rFont val="Calibri"/>
        <family val="2"/>
      </rPr>
      <t xml:space="preserve">= </t>
    </r>
    <r>
      <rPr>
        <b/>
        <sz val="11"/>
        <color theme="1"/>
        <rFont val="Calibri"/>
        <family val="2"/>
        <scheme val="minor"/>
      </rPr>
      <t>0.10</t>
    </r>
  </si>
  <si>
    <r>
      <rPr>
        <b/>
        <sz val="11"/>
        <color theme="1"/>
        <rFont val="Symbol"/>
        <family val="1"/>
        <charset val="2"/>
      </rPr>
      <t>a</t>
    </r>
    <r>
      <rPr>
        <b/>
        <sz val="9.9"/>
        <color theme="1"/>
        <rFont val="Calibri"/>
        <family val="2"/>
      </rPr>
      <t xml:space="preserve">= </t>
    </r>
    <r>
      <rPr>
        <b/>
        <sz val="11"/>
        <color theme="1"/>
        <rFont val="Calibri"/>
        <family val="2"/>
        <scheme val="minor"/>
      </rPr>
      <t>0.05</t>
    </r>
  </si>
  <si>
    <r>
      <rPr>
        <b/>
        <sz val="11"/>
        <color theme="1"/>
        <rFont val="Symbol"/>
        <family val="1"/>
        <charset val="2"/>
      </rPr>
      <t>a</t>
    </r>
    <r>
      <rPr>
        <b/>
        <sz val="9.9"/>
        <color theme="1"/>
        <rFont val="Calibri"/>
        <family val="2"/>
      </rPr>
      <t xml:space="preserve">= </t>
    </r>
    <r>
      <rPr>
        <b/>
        <sz val="11"/>
        <color theme="1"/>
        <rFont val="Calibri"/>
        <family val="2"/>
        <scheme val="minor"/>
      </rPr>
      <t>0.02</t>
    </r>
  </si>
  <si>
    <r>
      <rPr>
        <b/>
        <sz val="11"/>
        <color theme="1"/>
        <rFont val="Symbol"/>
        <family val="1"/>
        <charset val="2"/>
      </rPr>
      <t>a</t>
    </r>
    <r>
      <rPr>
        <b/>
        <sz val="9.9"/>
        <color theme="1"/>
        <rFont val="Calibri"/>
        <family val="2"/>
      </rPr>
      <t xml:space="preserve">= </t>
    </r>
    <r>
      <rPr>
        <b/>
        <sz val="11"/>
        <color theme="1"/>
        <rFont val="Calibri"/>
        <family val="2"/>
        <scheme val="minor"/>
      </rPr>
      <t>0.01</t>
    </r>
  </si>
  <si>
    <t>Degs. of freedom</t>
  </si>
  <si>
    <t>Mean X</t>
  </si>
  <si>
    <t>Sample Std.Dev. X</t>
  </si>
  <si>
    <t>Mean Y</t>
  </si>
  <si>
    <t>Sample Std.Dev. Y</t>
  </si>
  <si>
    <t>Linear Regression Line</t>
  </si>
  <si>
    <t>m = Slope</t>
  </si>
  <si>
    <t>b = Intercept</t>
  </si>
  <si>
    <t>r = Correl. Coefficient</t>
  </si>
  <si>
    <r>
      <t>R</t>
    </r>
    <r>
      <rPr>
        <vertAlign val="superscript"/>
        <sz val="11"/>
        <color theme="1"/>
        <rFont val="Calibri"/>
        <family val="2"/>
        <scheme val="minor"/>
      </rPr>
      <t>2</t>
    </r>
  </si>
  <si>
    <t>t-statistic</t>
  </si>
  <si>
    <t>P-Value
(HA: slope &lt; 0)</t>
  </si>
  <si>
    <t>P-Value
(HA: slope not = 0)</t>
  </si>
  <si>
    <t>P-Value
(HA: slope &gt; 0)</t>
  </si>
  <si>
    <t>1% r-critical value</t>
  </si>
  <si>
    <t>2% r-critical value</t>
  </si>
  <si>
    <t>5% r-critical value</t>
  </si>
  <si>
    <t>10% r-critical value</t>
  </si>
  <si>
    <t>*The predicted and residual values are optional.</t>
  </si>
  <si>
    <t>If wanted, copy cells E2 and F2 down to the last data value and delete unused cells.</t>
  </si>
  <si>
    <t>https://researchbasics.education.uconn.edu/r_critical_value_table/#</t>
  </si>
  <si>
    <t>Chi-Square Test for Independence</t>
  </si>
  <si>
    <t>This spreadsheet can be used for 2,3, or 4 rows and 2,3,4, or 5 columns. The cells in rows or coulmns not being used need to be empty</t>
  </si>
  <si>
    <t>Number of Rows used</t>
  </si>
  <si>
    <t>Number of Columns</t>
  </si>
  <si>
    <t>Degrees of Freedom:</t>
  </si>
  <si>
    <t>=(rows-1)*(cols-1)</t>
  </si>
  <si>
    <t>Row &amp; Column: Observed Counts &amp; Sums</t>
  </si>
  <si>
    <t>Death</t>
  </si>
  <si>
    <t xml:space="preserve">No death </t>
  </si>
  <si>
    <t>working</t>
  </si>
  <si>
    <t>Observed Counts</t>
  </si>
  <si>
    <t xml:space="preserve">not working </t>
  </si>
  <si>
    <t>Row &amp; Column: Proportions</t>
  </si>
  <si>
    <t>Row Proportion</t>
  </si>
  <si>
    <t>Column Proportion</t>
  </si>
  <si>
    <t>Cell: Expected Proportions</t>
  </si>
  <si>
    <t>Expected Proportion</t>
  </si>
  <si>
    <r>
      <t>Cell: Expected Value
(Observed - Expected)
(Observed - Expected)</t>
    </r>
    <r>
      <rPr>
        <b/>
        <vertAlign val="superscript"/>
        <sz val="11"/>
        <color theme="0"/>
        <rFont val="Arial"/>
        <family val="2"/>
      </rPr>
      <t>2</t>
    </r>
    <r>
      <rPr>
        <b/>
        <sz val="11"/>
        <color theme="0"/>
        <rFont val="Arial"/>
        <family val="2"/>
      </rPr>
      <t>/Expected</t>
    </r>
  </si>
  <si>
    <t>Observed Value</t>
  </si>
  <si>
    <t>Expected Value</t>
  </si>
  <si>
    <t>(Observed - Expected)</t>
  </si>
  <si>
    <r>
      <t>(O-E)</t>
    </r>
    <r>
      <rPr>
        <b/>
        <vertAlign val="superscript"/>
        <sz val="11"/>
        <rFont val="Arial"/>
        <family val="2"/>
      </rPr>
      <t>2</t>
    </r>
    <r>
      <rPr>
        <b/>
        <sz val="11"/>
        <rFont val="Arial"/>
        <family val="2"/>
      </rPr>
      <t>/E</t>
    </r>
  </si>
  <si>
    <t>Chi-Squared:</t>
  </si>
  <si>
    <r>
      <t>X</t>
    </r>
    <r>
      <rPr>
        <b/>
        <i/>
        <vertAlign val="superscript"/>
        <sz val="11"/>
        <color theme="1"/>
        <rFont val="Arial"/>
        <family val="2"/>
      </rPr>
      <t>2</t>
    </r>
    <r>
      <rPr>
        <b/>
        <i/>
        <sz val="11"/>
        <color theme="1"/>
        <rFont val="Arial"/>
        <family val="2"/>
      </rPr>
      <t xml:space="preserve"> =</t>
    </r>
  </si>
  <si>
    <t>P-Value =</t>
  </si>
  <si>
    <t>Goodness of Fit Test (Chi-Squared)</t>
  </si>
  <si>
    <t>Possible
Outcomes</t>
  </si>
  <si>
    <t>P(Outcome)</t>
  </si>
  <si>
    <t>Observed
Counts (O)</t>
  </si>
  <si>
    <t>Expected*
Counts (E)</t>
  </si>
  <si>
    <t>Sum of Counts</t>
  </si>
  <si>
    <t>(O-E)*</t>
  </si>
  <si>
    <r>
      <t>(O-E)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/E*</t>
    </r>
  </si>
  <si>
    <r>
      <rPr>
        <b/>
        <i/>
        <sz val="11"/>
        <color theme="1"/>
        <rFont val="Symbol"/>
        <family val="1"/>
        <charset val="2"/>
      </rPr>
      <t>C</t>
    </r>
    <r>
      <rPr>
        <b/>
        <i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Goodness of Fit</t>
    </r>
  </si>
  <si>
    <r>
      <t xml:space="preserve">Chi-Squared, </t>
    </r>
    <r>
      <rPr>
        <b/>
        <i/>
        <sz val="12"/>
        <color theme="1"/>
        <rFont val="Symbol"/>
        <family val="1"/>
        <charset val="2"/>
      </rPr>
      <t>C</t>
    </r>
    <r>
      <rPr>
        <b/>
        <i/>
        <vertAlign val="superscript"/>
        <sz val="12"/>
        <color theme="1"/>
        <rFont val="Calibri"/>
        <family val="2"/>
        <scheme val="minor"/>
      </rPr>
      <t xml:space="preserve">2 </t>
    </r>
  </si>
  <si>
    <t>P-Value</t>
  </si>
  <si>
    <r>
      <t xml:space="preserve">5% r-critical value
</t>
    </r>
    <r>
      <rPr>
        <sz val="11"/>
        <color theme="1"/>
        <rFont val="Calibri"/>
        <family val="2"/>
        <scheme val="minor"/>
      </rPr>
      <t>(CHI.INV.RT function)</t>
    </r>
  </si>
  <si>
    <r>
      <t xml:space="preserve">5% r-critical value
</t>
    </r>
    <r>
      <rPr>
        <sz val="11"/>
        <color theme="1"/>
        <rFont val="Calibri"/>
        <family val="2"/>
        <scheme val="minor"/>
      </rPr>
      <t>(Table Lookup)</t>
    </r>
  </si>
  <si>
    <r>
      <t>*E, (O-E), and 
(O-E)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/E are required for each line of data.</t>
    </r>
  </si>
  <si>
    <t xml:space="preserve">If the data list is longer, copy cells F2, H2, and I2 down to the row of last data value. </t>
  </si>
  <si>
    <t>Delete the cells in columns F, H, and I below the data..</t>
  </si>
  <si>
    <t>https://www.medcalc.org/manual/chi-square-table.php</t>
  </si>
  <si>
    <r>
      <rPr>
        <b/>
        <sz val="11"/>
        <color theme="1"/>
        <rFont val="Calibri"/>
        <family val="2"/>
        <scheme val="minor"/>
      </rPr>
      <t>ANOVA</t>
    </r>
    <r>
      <rPr>
        <sz val="11"/>
        <color theme="1"/>
        <rFont val="Calibri"/>
        <family val="2"/>
        <scheme val="minor"/>
      </rPr>
      <t xml:space="preserve"> can be done using Excel's </t>
    </r>
    <r>
      <rPr>
        <b/>
        <sz val="11"/>
        <color theme="1"/>
        <rFont val="Calibri"/>
        <family val="2"/>
        <scheme val="minor"/>
      </rPr>
      <t>data Analysis Toolpak</t>
    </r>
  </si>
  <si>
    <t>This calculation uses the raw data, not summary data</t>
  </si>
  <si>
    <t xml:space="preserve">Instructions to install the sata Analysis Toolpakare at this link: </t>
  </si>
  <si>
    <t>https://www.excel-easy.com/data-analysis/analysis-toolpak.html</t>
  </si>
  <si>
    <t>1-Way (Single-Factor) Analysis of Variance</t>
  </si>
  <si>
    <t>Hypotheses:</t>
  </si>
  <si>
    <r>
      <t xml:space="preserve">H0: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 xml:space="preserve">1 = 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 xml:space="preserve">2 =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  <scheme val="minor"/>
      </rPr>
      <t>3</t>
    </r>
  </si>
  <si>
    <t>H1: At least 1 mean is different from the others</t>
  </si>
  <si>
    <t xml:space="preserve">Data Table Example. </t>
  </si>
  <si>
    <t>https://www.excel-easy.com/examples/anova.html</t>
  </si>
  <si>
    <t>The example table is the number of people attending public lectures in 3 subjects.</t>
  </si>
  <si>
    <t>After entering your data in such a table, follow these stesps:</t>
  </si>
  <si>
    <t>0. Delete the existing outputs before starting or create a new table to the right of it.</t>
  </si>
  <si>
    <r>
      <t xml:space="preserve">1. On the </t>
    </r>
    <r>
      <rPr>
        <b/>
        <sz val="11"/>
        <color theme="1"/>
        <rFont val="Calibri"/>
        <family val="2"/>
        <scheme val="minor"/>
      </rPr>
      <t>Data</t>
    </r>
    <r>
      <rPr>
        <sz val="11"/>
        <color theme="1"/>
        <rFont val="Calibri"/>
        <family val="2"/>
        <scheme val="minor"/>
      </rPr>
      <t xml:space="preserve"> tab, in the Analysis group, click Data Analysis. (It will probably be the icon on the far-right, and may not be labeled._</t>
    </r>
  </si>
  <si>
    <r>
      <t xml:space="preserve">2. Select </t>
    </r>
    <r>
      <rPr>
        <b/>
        <sz val="11"/>
        <color theme="1"/>
        <rFont val="Calibri"/>
        <family val="2"/>
        <scheme val="minor"/>
      </rPr>
      <t>Anova: Single Factor</t>
    </r>
    <r>
      <rPr>
        <sz val="11"/>
        <color theme="1"/>
        <rFont val="Calibri"/>
        <family val="2"/>
        <scheme val="minor"/>
      </rPr>
      <t xml:space="preserve"> (at the top of the list) and click OK. This opens a menu box.</t>
    </r>
  </si>
  <si>
    <r>
      <t xml:space="preserve">3. Click in the Input Range box and select the </t>
    </r>
    <r>
      <rPr>
        <b/>
        <sz val="11"/>
        <color theme="1"/>
        <rFont val="Calibri"/>
        <family val="2"/>
        <scheme val="minor"/>
      </rPr>
      <t>input range</t>
    </r>
    <r>
      <rPr>
        <sz val="11"/>
        <color theme="1"/>
        <rFont val="Calibri"/>
        <family val="2"/>
        <scheme val="minor"/>
      </rPr>
      <t xml:space="preserve"> (In this example range = A21:E102)</t>
    </r>
  </si>
  <si>
    <r>
      <t>Include the column headers and click the box for "</t>
    </r>
    <r>
      <rPr>
        <b/>
        <sz val="11"/>
        <color theme="1"/>
        <rFont val="Calibri"/>
        <family val="2"/>
        <scheme val="minor"/>
      </rPr>
      <t>Labels in first row</t>
    </r>
    <r>
      <rPr>
        <sz val="11"/>
        <color theme="1"/>
        <rFont val="Calibri"/>
        <family val="2"/>
        <scheme val="minor"/>
      </rPr>
      <t>"</t>
    </r>
  </si>
  <si>
    <t>It's OK for the range to include blank cells. Blank cells are ignored in the calculation</t>
  </si>
  <si>
    <r>
      <t xml:space="preserve">4. Click in the </t>
    </r>
    <r>
      <rPr>
        <b/>
        <sz val="11"/>
        <color theme="1"/>
        <rFont val="Calibri"/>
        <family val="2"/>
        <scheme val="minor"/>
      </rPr>
      <t>Output Range box</t>
    </r>
    <r>
      <rPr>
        <sz val="11"/>
        <color theme="1"/>
        <rFont val="Calibri"/>
        <family val="2"/>
        <scheme val="minor"/>
      </rPr>
      <t xml:space="preserve"> and select the upper left cell for the output. (Cell G20 in this example)</t>
    </r>
  </si>
  <si>
    <t>5. Set the alpha value to compute the correct F-critical value</t>
  </si>
  <si>
    <t>6. Click OK. This creates the ANOVA output table shown.</t>
  </si>
  <si>
    <t>Note the P-value.</t>
  </si>
  <si>
    <t>Anova: Single Factor</t>
  </si>
  <si>
    <t>Example ANOVA Analysis</t>
  </si>
  <si>
    <t>Economics</t>
  </si>
  <si>
    <t>Medicine</t>
  </si>
  <si>
    <t xml:space="preserve"> History </t>
  </si>
  <si>
    <t>SUMMARY</t>
  </si>
  <si>
    <t>Groups</t>
  </si>
  <si>
    <t>Count</t>
  </si>
  <si>
    <t>Sum</t>
  </si>
  <si>
    <t>Average</t>
  </si>
  <si>
    <t>ANOVA</t>
  </si>
  <si>
    <t>Source of Variation</t>
  </si>
  <si>
    <t>SS</t>
  </si>
  <si>
    <t>df</t>
  </si>
  <si>
    <t>MS</t>
  </si>
  <si>
    <t>F</t>
  </si>
  <si>
    <t>P-value</t>
  </si>
  <si>
    <t>F crit</t>
  </si>
  <si>
    <t>Between Groups</t>
  </si>
  <si>
    <t>Within Groups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</si>
</sst>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0"/>
    <numFmt numFmtId="165" formatCode="0.000"/>
    <numFmt numFmtId="166" formatCode="0.00000"/>
    <numFmt numFmtId="167" formatCode="0.0"/>
    <numFmt numFmtId="168" formatCode="0.000000"/>
    <numFmt numFmtId="169" formatCode="_(* #,##0.000000_);_(* \(#,##0.000000\);_(* &quot;-&quot;??????_);_(@_)"/>
  </numFmts>
  <fonts count="5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vertAlign val="subscript"/>
      <sz val="11"/>
      <color theme="1"/>
      <name val="Calibri"/>
      <family val="2"/>
      <scheme val="minor"/>
    </font>
    <font>
      <b/>
      <sz val="11"/>
      <color theme="1"/>
      <name val="Symbol"/>
      <family val="1"/>
      <charset val="2"/>
    </font>
    <font>
      <b/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9.9"/>
      <color theme="1"/>
      <name val="Calibri"/>
      <family val="2"/>
    </font>
    <font>
      <sz val="11"/>
      <color rgb="FF000000"/>
      <name val="Arial"/>
      <family val="2"/>
    </font>
    <font>
      <sz val="11"/>
      <color rgb="FF333333"/>
      <name val="Arial"/>
      <family val="2"/>
    </font>
    <font>
      <b/>
      <sz val="11"/>
      <color theme="1"/>
      <name val="Calibri"/>
      <family val="1"/>
      <charset val="2"/>
      <scheme val="minor"/>
    </font>
    <font>
      <b/>
      <vertAlign val="superscript"/>
      <sz val="11"/>
      <color theme="1"/>
      <name val="Calibri"/>
      <family val="2"/>
      <scheme val="minor"/>
    </font>
    <font>
      <b/>
      <i/>
      <sz val="11"/>
      <color theme="1"/>
      <name val="Symbol"/>
      <family val="1"/>
      <charset val="2"/>
    </font>
    <font>
      <b/>
      <i/>
      <vertAlign val="superscript"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theme="1"/>
      <name val="Calibri"/>
      <family val="1"/>
      <charset val="2"/>
      <scheme val="minor"/>
    </font>
    <font>
      <vertAlign val="subscript"/>
      <sz val="11"/>
      <color theme="1"/>
      <name val="Symbol"/>
      <family val="1"/>
      <charset val="2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vertAlign val="superscript"/>
      <sz val="11"/>
      <name val="Arial"/>
      <family val="2"/>
    </font>
    <font>
      <b/>
      <i/>
      <vertAlign val="superscript"/>
      <sz val="11"/>
      <color theme="1"/>
      <name val="Arial"/>
      <family val="2"/>
    </font>
    <font>
      <sz val="11"/>
      <color theme="1"/>
      <name val="Arial"/>
      <family val="2"/>
    </font>
    <font>
      <b/>
      <i/>
      <sz val="12"/>
      <color theme="1"/>
      <name val="Symbol"/>
      <family val="1"/>
      <charset val="2"/>
    </font>
    <font>
      <b/>
      <i/>
      <vertAlign val="superscript"/>
      <sz val="12"/>
      <color theme="1"/>
      <name val="Calibri"/>
      <family val="2"/>
      <scheme val="minor"/>
    </font>
    <font>
      <b/>
      <i/>
      <sz val="11"/>
      <name val="Arial"/>
      <family val="2"/>
    </font>
    <font>
      <sz val="11"/>
      <color theme="1" tint="0.499984740745262"/>
      <name val="Arial"/>
      <family val="2"/>
    </font>
    <font>
      <sz val="11"/>
      <color theme="1" tint="0.499984740745262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0"/>
      <name val="Lucida Sans Unicode"/>
      <family val="2"/>
    </font>
    <font>
      <b/>
      <i/>
      <sz val="10"/>
      <color indexed="12"/>
      <name val="Lucida Sans Unicode"/>
      <family val="2"/>
    </font>
    <font>
      <b/>
      <sz val="10"/>
      <color indexed="12"/>
      <name val="Lucida Sans Unicode"/>
      <family val="2"/>
    </font>
    <font>
      <b/>
      <sz val="11"/>
      <color theme="1" tint="0.499984740745262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4"/>
      <color rgb="FF000000"/>
      <name val="Times New Roman"/>
      <family val="1"/>
    </font>
    <font>
      <sz val="11"/>
      <color theme="0" tint="-0.49998474074526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9"/>
      <color indexed="81"/>
      <name val="Tahoma"/>
      <family val="2"/>
    </font>
    <font>
      <b/>
      <sz val="11"/>
      <color theme="0"/>
      <name val="Arial"/>
      <family val="2"/>
    </font>
    <font>
      <b/>
      <vertAlign val="superscript"/>
      <sz val="11"/>
      <color theme="0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medium">
        <color rgb="FFCCCCCC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medium">
        <color rgb="FFCCCCCC"/>
      </top>
      <bottom style="dotted">
        <color rgb="FF000000"/>
      </bottom>
      <diagonal/>
    </border>
    <border>
      <left style="medium">
        <color rgb="FFCCCCCC"/>
      </left>
      <right style="dotted">
        <color rgb="FF000000"/>
      </right>
      <top style="medium">
        <color rgb="FFCCCCCC"/>
      </top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9" fillId="0" borderId="0" applyNumberFormat="0" applyFill="0" applyBorder="0" applyAlignment="0" applyProtection="0"/>
    <xf numFmtId="0" fontId="22" fillId="0" borderId="0"/>
  </cellStyleXfs>
  <cellXfs count="380">
    <xf numFmtId="0" fontId="0" fillId="0" borderId="0" xfId="0"/>
    <xf numFmtId="2" fontId="0" fillId="6" borderId="1" xfId="0" applyNumberForma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15" fillId="0" borderId="1" xfId="0" applyFont="1" applyBorder="1" applyAlignment="1">
      <alignment horizontal="center" wrapText="1"/>
    </xf>
    <xf numFmtId="165" fontId="0" fillId="7" borderId="1" xfId="0" applyNumberFormat="1" applyFill="1" applyBorder="1" applyAlignment="1">
      <alignment vertical="center" wrapText="1"/>
    </xf>
    <xf numFmtId="0" fontId="35" fillId="7" borderId="1" xfId="0" applyFont="1" applyFill="1" applyBorder="1" applyAlignment="1">
      <alignment horizontal="center" vertical="center" wrapText="1"/>
    </xf>
    <xf numFmtId="2" fontId="35" fillId="7" borderId="1" xfId="0" applyNumberFormat="1" applyFont="1" applyFill="1" applyBorder="1" applyAlignment="1">
      <alignment horizontal="center" vertical="center" wrapText="1"/>
    </xf>
    <xf numFmtId="165" fontId="36" fillId="7" borderId="1" xfId="0" applyNumberFormat="1" applyFont="1" applyFill="1" applyBorder="1" applyAlignment="1">
      <alignment horizontal="center" vertical="top" wrapText="1"/>
    </xf>
    <xf numFmtId="0" fontId="36" fillId="7" borderId="1" xfId="0" applyFont="1" applyFill="1" applyBorder="1" applyAlignment="1">
      <alignment horizontal="left" vertical="top"/>
    </xf>
    <xf numFmtId="165" fontId="36" fillId="7" borderId="1" xfId="0" applyNumberFormat="1" applyFont="1" applyFill="1" applyBorder="1" applyAlignment="1">
      <alignment wrapText="1"/>
    </xf>
    <xf numFmtId="0" fontId="36" fillId="7" borderId="1" xfId="0" applyFont="1" applyFill="1" applyBorder="1" applyAlignment="1">
      <alignment wrapText="1"/>
    </xf>
    <xf numFmtId="0" fontId="37" fillId="0" borderId="1" xfId="2" applyFont="1" applyBorder="1"/>
    <xf numFmtId="0" fontId="37" fillId="0" borderId="1" xfId="2" applyFont="1" applyBorder="1" applyAlignment="1">
      <alignment wrapText="1"/>
    </xf>
    <xf numFmtId="164" fontId="37" fillId="0" borderId="1" xfId="2" applyNumberFormat="1" applyFont="1" applyBorder="1"/>
    <xf numFmtId="0" fontId="38" fillId="0" borderId="1" xfId="2" applyFont="1" applyBorder="1" applyAlignment="1">
      <alignment horizontal="right"/>
    </xf>
    <xf numFmtId="0" fontId="39" fillId="0" borderId="1" xfId="2" applyFont="1" applyBorder="1"/>
    <xf numFmtId="164" fontId="39" fillId="0" borderId="1" xfId="2" applyNumberFormat="1" applyFont="1" applyBorder="1"/>
    <xf numFmtId="0" fontId="19" fillId="0" borderId="0" xfId="1"/>
    <xf numFmtId="0" fontId="0" fillId="0" borderId="16" xfId="0" applyBorder="1"/>
    <xf numFmtId="0" fontId="20" fillId="0" borderId="17" xfId="0" applyFont="1" applyBorder="1" applyAlignment="1">
      <alignment horizontal="center"/>
    </xf>
    <xf numFmtId="0" fontId="14" fillId="0" borderId="1" xfId="0" applyFont="1" applyBorder="1" applyAlignment="1">
      <alignment wrapText="1"/>
    </xf>
    <xf numFmtId="0" fontId="19" fillId="0" borderId="1" xfId="1" applyBorder="1" applyAlignment="1"/>
    <xf numFmtId="0" fontId="0" fillId="2" borderId="0" xfId="0" applyFill="1"/>
    <xf numFmtId="49" fontId="0" fillId="0" borderId="0" xfId="0" applyNumberFormat="1"/>
    <xf numFmtId="0" fontId="0" fillId="4" borderId="0" xfId="0" applyFill="1"/>
    <xf numFmtId="0" fontId="1" fillId="4" borderId="0" xfId="0" applyFont="1" applyFill="1"/>
    <xf numFmtId="0" fontId="0" fillId="4" borderId="18" xfId="0" applyFill="1" applyBorder="1"/>
    <xf numFmtId="0" fontId="1" fillId="0" borderId="0" xfId="0" applyFont="1"/>
    <xf numFmtId="0" fontId="14" fillId="0" borderId="1" xfId="0" applyFont="1" applyBorder="1"/>
    <xf numFmtId="0" fontId="42" fillId="0" borderId="1" xfId="0" applyFont="1" applyBorder="1" applyAlignment="1">
      <alignment horizontal="center"/>
    </xf>
    <xf numFmtId="0" fontId="42" fillId="0" borderId="1" xfId="0" applyFont="1" applyBorder="1"/>
    <xf numFmtId="49" fontId="0" fillId="4" borderId="0" xfId="0" applyNumberFormat="1" applyFill="1"/>
    <xf numFmtId="49" fontId="1" fillId="4" borderId="0" xfId="0" applyNumberFormat="1" applyFont="1" applyFill="1"/>
    <xf numFmtId="0" fontId="1" fillId="2" borderId="0" xfId="0" applyFont="1" applyFill="1"/>
    <xf numFmtId="1" fontId="1" fillId="11" borderId="1" xfId="0" applyNumberFormat="1" applyFont="1" applyFill="1" applyBorder="1" applyAlignment="1">
      <alignment vertical="center" wrapText="1"/>
    </xf>
    <xf numFmtId="1" fontId="0" fillId="11" borderId="1" xfId="0" applyNumberFormat="1" applyFill="1" applyBorder="1" applyAlignment="1">
      <alignment vertical="center" wrapText="1"/>
    </xf>
    <xf numFmtId="165" fontId="1" fillId="11" borderId="1" xfId="0" applyNumberFormat="1" applyFont="1" applyFill="1" applyBorder="1" applyAlignment="1">
      <alignment vertical="center" wrapText="1"/>
    </xf>
    <xf numFmtId="165" fontId="0" fillId="11" borderId="1" xfId="0" applyNumberFormat="1" applyFill="1" applyBorder="1" applyAlignment="1">
      <alignment vertical="center" wrapText="1"/>
    </xf>
    <xf numFmtId="164" fontId="1" fillId="11" borderId="1" xfId="0" applyNumberFormat="1" applyFont="1" applyFill="1" applyBorder="1" applyAlignment="1">
      <alignment vertical="center" wrapText="1"/>
    </xf>
    <xf numFmtId="164" fontId="18" fillId="11" borderId="1" xfId="0" applyNumberFormat="1" applyFont="1" applyFill="1" applyBorder="1" applyAlignment="1">
      <alignment vertical="center" wrapText="1"/>
    </xf>
    <xf numFmtId="164" fontId="0" fillId="11" borderId="1" xfId="0" applyNumberFormat="1" applyFill="1" applyBorder="1" applyAlignment="1">
      <alignment vertical="center" wrapText="1"/>
    </xf>
    <xf numFmtId="165" fontId="0" fillId="11" borderId="11" xfId="0" applyNumberFormat="1" applyFill="1" applyBorder="1" applyAlignment="1">
      <alignment vertical="center" wrapText="1"/>
    </xf>
    <xf numFmtId="0" fontId="0" fillId="12" borderId="1" xfId="0" applyFill="1" applyBorder="1" applyAlignment="1" applyProtection="1">
      <alignment vertical="center" wrapText="1"/>
      <protection locked="0"/>
    </xf>
    <xf numFmtId="0" fontId="0" fillId="12" borderId="1" xfId="0" applyFill="1" applyBorder="1" applyAlignment="1" applyProtection="1">
      <alignment horizontal="center" vertical="center" wrapText="1"/>
      <protection locked="0"/>
    </xf>
    <xf numFmtId="164" fontId="0" fillId="12" borderId="1" xfId="0" applyNumberFormat="1" applyFill="1" applyBorder="1" applyAlignment="1" applyProtection="1">
      <alignment vertical="center" wrapText="1"/>
      <protection locked="0"/>
    </xf>
    <xf numFmtId="0" fontId="0" fillId="12" borderId="1" xfId="0" applyFill="1" applyBorder="1" applyAlignment="1" applyProtection="1">
      <alignment horizontal="center" wrapText="1"/>
      <protection locked="0"/>
    </xf>
    <xf numFmtId="164" fontId="0" fillId="12" borderId="1" xfId="0" applyNumberFormat="1" applyFill="1" applyBorder="1" applyAlignment="1" applyProtection="1">
      <alignment wrapText="1"/>
      <protection locked="0"/>
    </xf>
    <xf numFmtId="0" fontId="0" fillId="12" borderId="1" xfId="0" applyFill="1" applyBorder="1" applyAlignment="1" applyProtection="1">
      <alignment wrapText="1"/>
      <protection locked="0"/>
    </xf>
    <xf numFmtId="2" fontId="0" fillId="12" borderId="1" xfId="0" applyNumberFormat="1" applyFill="1" applyBorder="1" applyAlignment="1" applyProtection="1">
      <alignment vertical="center" wrapText="1"/>
      <protection locked="0"/>
    </xf>
    <xf numFmtId="0" fontId="18" fillId="11" borderId="1" xfId="0" applyFont="1" applyFill="1" applyBorder="1" applyAlignment="1">
      <alignment horizontal="center"/>
    </xf>
    <xf numFmtId="0" fontId="42" fillId="11" borderId="1" xfId="0" applyFont="1" applyFill="1" applyBorder="1"/>
    <xf numFmtId="0" fontId="43" fillId="0" borderId="1" xfId="0" applyFont="1" applyBorder="1" applyAlignment="1">
      <alignment horizont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42" fillId="0" borderId="2" xfId="0" applyFont="1" applyBorder="1" applyAlignment="1">
      <alignment horizontal="left" vertical="center"/>
    </xf>
    <xf numFmtId="0" fontId="19" fillId="0" borderId="0" xfId="1" applyFill="1"/>
    <xf numFmtId="0" fontId="0" fillId="11" borderId="0" xfId="0" applyFill="1"/>
    <xf numFmtId="0" fontId="0" fillId="11" borderId="16" xfId="0" applyFill="1" applyBorder="1"/>
    <xf numFmtId="0" fontId="20" fillId="11" borderId="17" xfId="0" applyFont="1" applyFill="1" applyBorder="1" applyAlignment="1">
      <alignment horizontal="center"/>
    </xf>
    <xf numFmtId="165" fontId="1" fillId="11" borderId="1" xfId="0" applyNumberFormat="1" applyFont="1" applyFill="1" applyBorder="1" applyAlignment="1">
      <alignment horizontal="center" wrapText="1"/>
    </xf>
    <xf numFmtId="165" fontId="0" fillId="11" borderId="1" xfId="0" applyNumberFormat="1" applyFill="1" applyBorder="1" applyAlignment="1">
      <alignment wrapText="1"/>
    </xf>
    <xf numFmtId="165" fontId="18" fillId="11" borderId="1" xfId="0" applyNumberFormat="1" applyFont="1" applyFill="1" applyBorder="1" applyAlignment="1">
      <alignment wrapText="1"/>
    </xf>
    <xf numFmtId="165" fontId="1" fillId="11" borderId="1" xfId="0" applyNumberFormat="1" applyFont="1" applyFill="1" applyBorder="1" applyAlignment="1">
      <alignment wrapText="1"/>
    </xf>
    <xf numFmtId="164" fontId="18" fillId="11" borderId="1" xfId="0" applyNumberFormat="1" applyFont="1" applyFill="1" applyBorder="1" applyAlignment="1">
      <alignment wrapText="1"/>
    </xf>
    <xf numFmtId="0" fontId="0" fillId="6" borderId="1" xfId="0" applyFill="1" applyBorder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wrapText="1"/>
      <protection locked="0"/>
    </xf>
    <xf numFmtId="164" fontId="37" fillId="11" borderId="1" xfId="2" applyNumberFormat="1" applyFont="1" applyFill="1" applyBorder="1"/>
    <xf numFmtId="164" fontId="39" fillId="11" borderId="1" xfId="2" applyNumberFormat="1" applyFont="1" applyFill="1" applyBorder="1"/>
    <xf numFmtId="0" fontId="39" fillId="11" borderId="1" xfId="2" applyFont="1" applyFill="1" applyBorder="1"/>
    <xf numFmtId="167" fontId="46" fillId="14" borderId="1" xfId="0" applyNumberFormat="1" applyFont="1" applyFill="1" applyBorder="1" applyAlignment="1">
      <alignment horizontal="right" vertical="center" wrapText="1"/>
    </xf>
    <xf numFmtId="0" fontId="46" fillId="14" borderId="1" xfId="0" applyFont="1" applyFill="1" applyBorder="1" applyAlignment="1">
      <alignment horizontal="right" vertical="center" wrapText="1"/>
    </xf>
    <xf numFmtId="164" fontId="46" fillId="14" borderId="1" xfId="0" applyNumberFormat="1" applyFont="1" applyFill="1" applyBorder="1" applyAlignment="1">
      <alignment horizontal="right" vertical="center" wrapText="1"/>
    </xf>
    <xf numFmtId="165" fontId="0" fillId="6" borderId="1" xfId="0" applyNumberFormat="1" applyFill="1" applyBorder="1" applyAlignment="1" applyProtection="1">
      <alignment vertical="center" wrapText="1"/>
      <protection locked="0"/>
    </xf>
    <xf numFmtId="0" fontId="42" fillId="8" borderId="1" xfId="0" applyFont="1" applyFill="1" applyBorder="1"/>
    <xf numFmtId="168" fontId="1" fillId="11" borderId="1" xfId="0" applyNumberFormat="1" applyFont="1" applyFill="1" applyBorder="1" applyAlignment="1">
      <alignment vertical="center" wrapText="1"/>
    </xf>
    <xf numFmtId="2" fontId="0" fillId="11" borderId="1" xfId="0" applyNumberFormat="1" applyFill="1" applyBorder="1" applyAlignment="1">
      <alignment vertical="center" wrapText="1"/>
    </xf>
    <xf numFmtId="165" fontId="0" fillId="0" borderId="1" xfId="0" applyNumberFormat="1" applyBorder="1" applyAlignment="1">
      <alignment vertical="center" wrapText="1"/>
    </xf>
    <xf numFmtId="0" fontId="1" fillId="11" borderId="1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right" vertical="center" wrapText="1"/>
    </xf>
    <xf numFmtId="0" fontId="0" fillId="4" borderId="1" xfId="0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 wrapText="1"/>
    </xf>
    <xf numFmtId="1" fontId="1" fillId="11" borderId="1" xfId="0" applyNumberFormat="1" applyFont="1" applyFill="1" applyBorder="1" applyAlignment="1">
      <alignment wrapText="1"/>
    </xf>
    <xf numFmtId="0" fontId="1" fillId="0" borderId="1" xfId="0" applyFont="1" applyBorder="1"/>
    <xf numFmtId="0" fontId="1" fillId="11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right"/>
    </xf>
    <xf numFmtId="0" fontId="21" fillId="3" borderId="1" xfId="1" applyFont="1" applyFill="1" applyBorder="1" applyProtection="1"/>
    <xf numFmtId="0" fontId="0" fillId="0" borderId="1" xfId="0" applyBorder="1" applyAlignment="1">
      <alignment horizontal="right"/>
    </xf>
    <xf numFmtId="0" fontId="14" fillId="0" borderId="1" xfId="0" applyFont="1" applyBorder="1" applyAlignment="1">
      <alignment vertical="center"/>
    </xf>
    <xf numFmtId="0" fontId="1" fillId="0" borderId="1" xfId="0" applyFont="1" applyBorder="1" applyAlignment="1">
      <alignment horizontal="right"/>
    </xf>
    <xf numFmtId="0" fontId="19" fillId="0" borderId="0" xfId="1" applyProtection="1"/>
    <xf numFmtId="0" fontId="34" fillId="0" borderId="1" xfId="0" applyFont="1" applyBorder="1"/>
    <xf numFmtId="0" fontId="34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164" fontId="1" fillId="11" borderId="1" xfId="0" applyNumberFormat="1" applyFont="1" applyFill="1" applyBorder="1" applyAlignment="1">
      <alignment horizontal="center"/>
    </xf>
    <xf numFmtId="0" fontId="1" fillId="19" borderId="1" xfId="0" applyFont="1" applyFill="1" applyBorder="1" applyAlignment="1">
      <alignment horizontal="right" vertical="center" wrapText="1"/>
    </xf>
    <xf numFmtId="165" fontId="1" fillId="19" borderId="1" xfId="0" applyNumberFormat="1" applyFont="1" applyFill="1" applyBorder="1" applyAlignment="1">
      <alignment horizontal="right" vertical="center" wrapText="1"/>
    </xf>
    <xf numFmtId="0" fontId="1" fillId="11" borderId="1" xfId="0" applyFont="1" applyFill="1" applyBorder="1" applyAlignment="1">
      <alignment horizontal="right"/>
    </xf>
    <xf numFmtId="0" fontId="46" fillId="14" borderId="1" xfId="0" applyFont="1" applyFill="1" applyBorder="1"/>
    <xf numFmtId="0" fontId="46" fillId="14" borderId="1" xfId="0" applyFont="1" applyFill="1" applyBorder="1" applyAlignment="1">
      <alignment horizontal="right"/>
    </xf>
    <xf numFmtId="164" fontId="46" fillId="14" borderId="1" xfId="0" applyNumberFormat="1" applyFont="1" applyFill="1" applyBorder="1"/>
    <xf numFmtId="164" fontId="34" fillId="4" borderId="1" xfId="0" applyNumberFormat="1" applyFont="1" applyFill="1" applyBorder="1"/>
    <xf numFmtId="164" fontId="40" fillId="4" borderId="1" xfId="0" applyNumberFormat="1" applyFont="1" applyFill="1" applyBorder="1"/>
    <xf numFmtId="164" fontId="34" fillId="4" borderId="19" xfId="0" applyNumberFormat="1" applyFont="1" applyFill="1" applyBorder="1"/>
    <xf numFmtId="164" fontId="34" fillId="4" borderId="3" xfId="0" applyNumberFormat="1" applyFont="1" applyFill="1" applyBorder="1"/>
    <xf numFmtId="0" fontId="1" fillId="12" borderId="0" xfId="0" applyFont="1" applyFill="1" applyProtection="1">
      <protection locked="0"/>
    </xf>
    <xf numFmtId="0" fontId="0" fillId="12" borderId="0" xfId="0" applyFill="1" applyProtection="1">
      <protection locked="0"/>
    </xf>
    <xf numFmtId="0" fontId="42" fillId="12" borderId="1" xfId="0" applyFont="1" applyFill="1" applyBorder="1" applyAlignment="1" applyProtection="1">
      <alignment vertical="center" wrapText="1"/>
      <protection locked="0"/>
    </xf>
    <xf numFmtId="0" fontId="42" fillId="12" borderId="1" xfId="0" applyFont="1" applyFill="1" applyBorder="1" applyProtection="1">
      <protection locked="0"/>
    </xf>
    <xf numFmtId="0" fontId="18" fillId="12" borderId="1" xfId="0" applyFont="1" applyFill="1" applyBorder="1" applyAlignment="1">
      <alignment horizontal="center"/>
    </xf>
    <xf numFmtId="0" fontId="37" fillId="12" borderId="1" xfId="2" applyFont="1" applyFill="1" applyBorder="1" applyAlignment="1" applyProtection="1">
      <alignment horizontal="center"/>
      <protection locked="0"/>
    </xf>
    <xf numFmtId="0" fontId="37" fillId="12" borderId="1" xfId="2" applyFont="1" applyFill="1" applyBorder="1" applyProtection="1">
      <protection locked="0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right" vertical="center" wrapText="1"/>
    </xf>
    <xf numFmtId="0" fontId="0" fillId="15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11" borderId="1" xfId="0" applyFill="1" applyBorder="1" applyAlignment="1">
      <alignment vertical="center" wrapText="1"/>
    </xf>
    <xf numFmtId="0" fontId="1" fillId="1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1" fillId="15" borderId="1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left" vertical="center" wrapText="1"/>
    </xf>
    <xf numFmtId="0" fontId="1" fillId="11" borderId="1" xfId="0" applyFont="1" applyFill="1" applyBorder="1" applyAlignment="1">
      <alignment vertical="center" wrapText="1"/>
    </xf>
    <xf numFmtId="167" fontId="0" fillId="15" borderId="1" xfId="0" applyNumberFormat="1" applyFill="1" applyBorder="1" applyAlignment="1">
      <alignment vertical="center" wrapText="1"/>
    </xf>
    <xf numFmtId="0" fontId="0" fillId="0" borderId="2" xfId="0" applyBorder="1" applyAlignment="1">
      <alignment horizontal="left" vertical="center" wrapText="1"/>
    </xf>
    <xf numFmtId="165" fontId="0" fillId="0" borderId="1" xfId="0" applyNumberFormat="1" applyBorder="1" applyAlignment="1">
      <alignment horizontal="right" vertical="center" wrapText="1"/>
    </xf>
    <xf numFmtId="0" fontId="0" fillId="17" borderId="1" xfId="0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165" fontId="0" fillId="11" borderId="1" xfId="0" applyNumberForma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1" xfId="1" applyFont="1" applyBorder="1" applyAlignment="1" applyProtection="1">
      <alignment horizontal="right" vertical="center" wrapText="1"/>
    </xf>
    <xf numFmtId="0" fontId="19" fillId="0" borderId="1" xfId="1" applyBorder="1" applyAlignment="1" applyProtection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64" fontId="0" fillId="0" borderId="1" xfId="0" applyNumberFormat="1" applyBorder="1" applyAlignment="1">
      <alignment horizontal="left" vertical="center" wrapText="1"/>
    </xf>
    <xf numFmtId="164" fontId="0" fillId="0" borderId="1" xfId="0" applyNumberFormat="1" applyBorder="1" applyAlignment="1">
      <alignment horizontal="right" vertical="center" wrapText="1"/>
    </xf>
    <xf numFmtId="164" fontId="0" fillId="0" borderId="1" xfId="0" applyNumberFormat="1" applyBorder="1" applyAlignment="1">
      <alignment vertical="center" wrapText="1"/>
    </xf>
    <xf numFmtId="165" fontId="0" fillId="12" borderId="1" xfId="0" applyNumberFormat="1" applyFill="1" applyBorder="1" applyAlignment="1" applyProtection="1">
      <alignment horizontal="center" vertical="center" wrapText="1"/>
      <protection locked="0"/>
    </xf>
    <xf numFmtId="164" fontId="0" fillId="12" borderId="1" xfId="0" applyNumberFormat="1" applyFill="1" applyBorder="1" applyAlignment="1" applyProtection="1">
      <alignment horizontal="center" vertical="center" wrapText="1"/>
      <protection locked="0"/>
    </xf>
    <xf numFmtId="0" fontId="14" fillId="21" borderId="20" xfId="0" applyFont="1" applyFill="1" applyBorder="1" applyAlignment="1" applyProtection="1">
      <alignment horizontal="right" wrapText="1"/>
      <protection locked="0"/>
    </xf>
    <xf numFmtId="0" fontId="14" fillId="21" borderId="22" xfId="0" applyFont="1" applyFill="1" applyBorder="1" applyAlignment="1" applyProtection="1">
      <alignment horizontal="right" wrapText="1"/>
      <protection locked="0"/>
    </xf>
    <xf numFmtId="0" fontId="1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" fillId="0" borderId="1" xfId="0" applyFont="1" applyBorder="1" applyAlignment="1">
      <alignment horizontal="right" wrapText="1"/>
    </xf>
    <xf numFmtId="164" fontId="0" fillId="11" borderId="1" xfId="0" applyNumberFormat="1" applyFill="1" applyBorder="1" applyAlignment="1">
      <alignment wrapText="1"/>
    </xf>
    <xf numFmtId="0" fontId="0" fillId="0" borderId="1" xfId="0" applyBorder="1" applyAlignment="1">
      <alignment horizontal="right" wrapText="1"/>
    </xf>
    <xf numFmtId="0" fontId="0" fillId="0" borderId="1" xfId="0" applyBorder="1" applyAlignment="1">
      <alignment horizontal="left" vertical="top" wrapText="1"/>
    </xf>
    <xf numFmtId="0" fontId="0" fillId="11" borderId="1" xfId="0" applyFill="1" applyBorder="1" applyAlignment="1">
      <alignment wrapText="1"/>
    </xf>
    <xf numFmtId="164" fontId="1" fillId="11" borderId="1" xfId="0" applyNumberFormat="1" applyFont="1" applyFill="1" applyBorder="1" applyAlignment="1">
      <alignment wrapText="1"/>
    </xf>
    <xf numFmtId="166" fontId="1" fillId="11" borderId="1" xfId="0" applyNumberFormat="1" applyFont="1" applyFill="1" applyBorder="1" applyAlignment="1">
      <alignment wrapText="1"/>
    </xf>
    <xf numFmtId="164" fontId="0" fillId="0" borderId="1" xfId="0" applyNumberFormat="1" applyBorder="1" applyAlignment="1">
      <alignment horizontal="left" vertical="top" wrapText="1"/>
    </xf>
    <xf numFmtId="0" fontId="0" fillId="0" borderId="10" xfId="0" applyBorder="1" applyAlignment="1">
      <alignment wrapText="1"/>
    </xf>
    <xf numFmtId="0" fontId="2" fillId="0" borderId="1" xfId="0" applyFont="1" applyBorder="1" applyAlignment="1">
      <alignment horizontal="right" vertical="center" wrapText="1"/>
    </xf>
    <xf numFmtId="0" fontId="0" fillId="0" borderId="10" xfId="0" applyBorder="1" applyAlignment="1">
      <alignment horizontal="right" wrapText="1"/>
    </xf>
    <xf numFmtId="0" fontId="1" fillId="8" borderId="1" xfId="0" applyFont="1" applyFill="1" applyBorder="1" applyAlignment="1">
      <alignment horizontal="center" vertical="center" wrapText="1"/>
    </xf>
    <xf numFmtId="0" fontId="47" fillId="18" borderId="20" xfId="0" applyFont="1" applyFill="1" applyBorder="1" applyAlignment="1">
      <alignment horizontal="center" vertical="center" wrapText="1"/>
    </xf>
    <xf numFmtId="0" fontId="47" fillId="18" borderId="21" xfId="0" applyFont="1" applyFill="1" applyBorder="1" applyAlignment="1">
      <alignment horizontal="center" vertical="center" wrapText="1"/>
    </xf>
    <xf numFmtId="166" fontId="1" fillId="11" borderId="1" xfId="0" applyNumberFormat="1" applyFont="1" applyFill="1" applyBorder="1" applyAlignment="1">
      <alignment vertical="center" wrapText="1"/>
    </xf>
    <xf numFmtId="0" fontId="0" fillId="13" borderId="1" xfId="0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 wrapText="1"/>
    </xf>
    <xf numFmtId="0" fontId="14" fillId="18" borderId="20" xfId="0" applyFont="1" applyFill="1" applyBorder="1" applyAlignment="1" applyProtection="1">
      <alignment horizontal="right" vertical="center" wrapText="1"/>
      <protection locked="0"/>
    </xf>
    <xf numFmtId="0" fontId="14" fillId="18" borderId="22" xfId="0" applyFont="1" applyFill="1" applyBorder="1" applyAlignment="1" applyProtection="1">
      <alignment horizontal="right" vertical="center" wrapText="1"/>
      <protection locked="0"/>
    </xf>
    <xf numFmtId="0" fontId="14" fillId="18" borderId="21" xfId="0" applyFont="1" applyFill="1" applyBorder="1" applyAlignment="1" applyProtection="1">
      <alignment horizontal="right" vertical="center" wrapText="1"/>
      <protection locked="0"/>
    </xf>
    <xf numFmtId="0" fontId="14" fillId="18" borderId="23" xfId="0" applyFont="1" applyFill="1" applyBorder="1" applyAlignment="1" applyProtection="1">
      <alignment horizontal="right" vertical="center" wrapText="1"/>
      <protection locked="0"/>
    </xf>
    <xf numFmtId="0" fontId="14" fillId="21" borderId="20" xfId="0" applyFont="1" applyFill="1" applyBorder="1" applyAlignment="1" applyProtection="1">
      <alignment horizontal="right" vertical="center" wrapText="1"/>
      <protection locked="0"/>
    </xf>
    <xf numFmtId="0" fontId="14" fillId="21" borderId="22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165" fontId="10" fillId="7" borderId="1" xfId="0" applyNumberFormat="1" applyFont="1" applyFill="1" applyBorder="1" applyAlignment="1">
      <alignment horizontal="center" vertical="center" wrapText="1"/>
    </xf>
    <xf numFmtId="1" fontId="0" fillId="7" borderId="1" xfId="0" applyNumberFormat="1" applyFill="1" applyBorder="1" applyAlignment="1">
      <alignment vertical="center" wrapText="1"/>
    </xf>
    <xf numFmtId="0" fontId="8" fillId="7" borderId="1" xfId="0" applyFont="1" applyFill="1" applyBorder="1" applyAlignment="1">
      <alignment vertical="center"/>
    </xf>
    <xf numFmtId="165" fontId="9" fillId="7" borderId="1" xfId="0" applyNumberFormat="1" applyFont="1" applyFill="1" applyBorder="1" applyAlignment="1">
      <alignment vertical="center" wrapText="1"/>
    </xf>
    <xf numFmtId="0" fontId="8" fillId="7" borderId="1" xfId="0" applyFont="1" applyFill="1" applyBorder="1" applyAlignment="1">
      <alignment vertical="center" wrapText="1"/>
    </xf>
    <xf numFmtId="165" fontId="9" fillId="5" borderId="1" xfId="0" applyNumberFormat="1" applyFont="1" applyFill="1" applyBorder="1" applyAlignment="1">
      <alignment vertical="center" wrapText="1"/>
    </xf>
    <xf numFmtId="0" fontId="1" fillId="8" borderId="1" xfId="0" applyFont="1" applyFill="1" applyBorder="1" applyAlignment="1">
      <alignment horizontal="right" vertical="center" wrapText="1"/>
    </xf>
    <xf numFmtId="0" fontId="9" fillId="7" borderId="1" xfId="0" applyFont="1" applyFill="1" applyBorder="1" applyAlignment="1">
      <alignment vertical="center" wrapText="1"/>
    </xf>
    <xf numFmtId="0" fontId="45" fillId="0" borderId="0" xfId="0" applyFont="1"/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7" borderId="1" xfId="0" applyFill="1" applyBorder="1" applyAlignment="1">
      <alignment vertical="center"/>
    </xf>
    <xf numFmtId="0" fontId="0" fillId="7" borderId="1" xfId="0" applyFill="1" applyBorder="1" applyAlignment="1">
      <alignment vertical="center" wrapText="1"/>
    </xf>
    <xf numFmtId="0" fontId="25" fillId="12" borderId="1" xfId="2" applyFont="1" applyFill="1" applyBorder="1" applyAlignment="1" applyProtection="1">
      <alignment horizontal="center"/>
      <protection locked="0"/>
    </xf>
    <xf numFmtId="0" fontId="26" fillId="12" borderId="1" xfId="2" applyFont="1" applyFill="1" applyBorder="1" applyAlignment="1" applyProtection="1">
      <alignment horizontal="center"/>
      <protection locked="0"/>
    </xf>
    <xf numFmtId="0" fontId="25" fillId="0" borderId="1" xfId="2" applyFont="1" applyBorder="1" applyAlignment="1">
      <alignment horizontal="center"/>
    </xf>
    <xf numFmtId="0" fontId="25" fillId="0" borderId="1" xfId="2" applyFont="1" applyBorder="1"/>
    <xf numFmtId="0" fontId="23" fillId="11" borderId="1" xfId="2" applyFont="1" applyFill="1" applyBorder="1" applyAlignment="1">
      <alignment horizontal="right"/>
    </xf>
    <xf numFmtId="0" fontId="24" fillId="11" borderId="1" xfId="2" applyFont="1" applyFill="1" applyBorder="1" applyAlignment="1">
      <alignment horizontal="center"/>
    </xf>
    <xf numFmtId="0" fontId="23" fillId="0" borderId="1" xfId="2" applyFont="1" applyBorder="1"/>
    <xf numFmtId="0" fontId="26" fillId="11" borderId="1" xfId="2" applyFont="1" applyFill="1" applyBorder="1" applyAlignment="1">
      <alignment horizontal="center"/>
    </xf>
    <xf numFmtId="0" fontId="25" fillId="11" borderId="1" xfId="2" applyFont="1" applyFill="1" applyBorder="1" applyAlignment="1">
      <alignment horizontal="center"/>
    </xf>
    <xf numFmtId="0" fontId="26" fillId="0" borderId="1" xfId="2" applyFont="1" applyBorder="1"/>
    <xf numFmtId="164" fontId="25" fillId="11" borderId="1" xfId="2" applyNumberFormat="1" applyFont="1" applyFill="1" applyBorder="1" applyAlignment="1">
      <alignment horizontal="center"/>
    </xf>
    <xf numFmtId="164" fontId="32" fillId="10" borderId="1" xfId="2" applyNumberFormat="1" applyFont="1" applyFill="1" applyBorder="1" applyAlignment="1">
      <alignment horizontal="center"/>
    </xf>
    <xf numFmtId="0" fontId="25" fillId="10" borderId="1" xfId="2" applyFont="1" applyFill="1" applyBorder="1"/>
    <xf numFmtId="164" fontId="33" fillId="11" borderId="1" xfId="2" applyNumberFormat="1" applyFont="1" applyFill="1" applyBorder="1" applyAlignment="1">
      <alignment horizontal="center"/>
    </xf>
    <xf numFmtId="0" fontId="33" fillId="0" borderId="1" xfId="2" applyFont="1" applyBorder="1"/>
    <xf numFmtId="0" fontId="1" fillId="0" borderId="1" xfId="0" applyFont="1" applyBorder="1" applyAlignment="1">
      <alignment horizontal="left" vertical="top" wrapText="1"/>
    </xf>
    <xf numFmtId="0" fontId="1" fillId="12" borderId="1" xfId="0" applyFont="1" applyFill="1" applyBorder="1" applyAlignment="1">
      <alignment horizontal="center" wrapText="1"/>
    </xf>
    <xf numFmtId="164" fontId="1" fillId="12" borderId="1" xfId="0" applyNumberFormat="1" applyFont="1" applyFill="1" applyBorder="1" applyAlignment="1">
      <alignment horizontal="center" wrapText="1"/>
    </xf>
    <xf numFmtId="165" fontId="0" fillId="0" borderId="1" xfId="0" applyNumberFormat="1" applyBorder="1" applyAlignment="1">
      <alignment wrapText="1"/>
    </xf>
    <xf numFmtId="165" fontId="18" fillId="0" borderId="1" xfId="0" applyNumberFormat="1" applyFont="1" applyBorder="1" applyAlignment="1">
      <alignment horizontal="right" wrapText="1"/>
    </xf>
    <xf numFmtId="1" fontId="0" fillId="0" borderId="1" xfId="0" applyNumberFormat="1" applyBorder="1" applyAlignment="1">
      <alignment horizontal="right" wrapText="1"/>
    </xf>
    <xf numFmtId="0" fontId="0" fillId="11" borderId="2" xfId="0" applyFill="1" applyBorder="1" applyAlignment="1">
      <alignment wrapText="1"/>
    </xf>
    <xf numFmtId="0" fontId="0" fillId="7" borderId="1" xfId="0" applyFill="1" applyBorder="1" applyAlignment="1">
      <alignment horizontal="right" vertical="center" wrapText="1"/>
    </xf>
    <xf numFmtId="165" fontId="0" fillId="0" borderId="1" xfId="0" applyNumberFormat="1" applyBorder="1" applyAlignment="1">
      <alignment horizontal="right" wrapText="1"/>
    </xf>
    <xf numFmtId="0" fontId="0" fillId="0" borderId="0" xfId="0" applyProtection="1">
      <protection locked="0"/>
    </xf>
    <xf numFmtId="0" fontId="0" fillId="12" borderId="1" xfId="0" applyFill="1" applyBorder="1" applyProtection="1">
      <protection locked="0"/>
    </xf>
    <xf numFmtId="0" fontId="48" fillId="0" borderId="0" xfId="0" applyFont="1"/>
    <xf numFmtId="0" fontId="49" fillId="0" borderId="0" xfId="0" applyFont="1"/>
    <xf numFmtId="49" fontId="1" fillId="0" borderId="0" xfId="0" applyNumberFormat="1" applyFont="1" applyAlignment="1">
      <alignment horizontal="right"/>
    </xf>
    <xf numFmtId="0" fontId="50" fillId="4" borderId="0" xfId="0" applyFont="1" applyFill="1"/>
    <xf numFmtId="0" fontId="1" fillId="3" borderId="1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0" fontId="0" fillId="0" borderId="1" xfId="0" applyBorder="1"/>
    <xf numFmtId="0" fontId="1" fillId="3" borderId="1" xfId="0" applyFont="1" applyFill="1" applyBorder="1"/>
    <xf numFmtId="0" fontId="1" fillId="22" borderId="3" xfId="0" applyFont="1" applyFill="1" applyBorder="1" applyAlignment="1">
      <alignment horizontal="center" vertical="center" wrapText="1"/>
    </xf>
    <xf numFmtId="0" fontId="1" fillId="22" borderId="3" xfId="0" applyFont="1" applyFill="1" applyBorder="1" applyAlignment="1">
      <alignment horizontal="center"/>
    </xf>
    <xf numFmtId="0" fontId="1" fillId="23" borderId="3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0" fillId="3" borderId="1" xfId="0" applyFill="1" applyBorder="1"/>
    <xf numFmtId="0" fontId="19" fillId="3" borderId="1" xfId="1" applyFill="1" applyBorder="1" applyProtection="1"/>
    <xf numFmtId="0" fontId="0" fillId="0" borderId="1" xfId="0" quotePrefix="1" applyBorder="1"/>
    <xf numFmtId="0" fontId="19" fillId="0" borderId="1" xfId="1" applyBorder="1" applyProtection="1"/>
    <xf numFmtId="0" fontId="0" fillId="0" borderId="13" xfId="0" applyBorder="1"/>
    <xf numFmtId="0" fontId="0" fillId="0" borderId="11" xfId="0" applyBorder="1"/>
    <xf numFmtId="0" fontId="0" fillId="22" borderId="2" xfId="0" applyFill="1" applyBorder="1"/>
    <xf numFmtId="164" fontId="0" fillId="12" borderId="1" xfId="0" applyNumberFormat="1" applyFill="1" applyBorder="1" applyAlignment="1" applyProtection="1">
      <alignment horizontal="center" wrapText="1"/>
      <protection locked="0"/>
    </xf>
    <xf numFmtId="0" fontId="0" fillId="19" borderId="1" xfId="0" applyFill="1" applyBorder="1"/>
    <xf numFmtId="0" fontId="0" fillId="23" borderId="2" xfId="0" applyFill="1" applyBorder="1"/>
    <xf numFmtId="164" fontId="0" fillId="0" borderId="1" xfId="0" applyNumberFormat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9" borderId="1" xfId="0" applyFill="1" applyBorder="1"/>
    <xf numFmtId="0" fontId="1" fillId="12" borderId="1" xfId="0" applyFont="1" applyFill="1" applyBorder="1" applyAlignment="1" applyProtection="1">
      <alignment vertical="center" wrapText="1"/>
      <protection locked="0"/>
    </xf>
    <xf numFmtId="0" fontId="0" fillId="12" borderId="1" xfId="0" applyFill="1" applyBorder="1" applyAlignment="1" applyProtection="1">
      <alignment horizontal="center"/>
      <protection locked="0"/>
    </xf>
    <xf numFmtId="164" fontId="26" fillId="11" borderId="1" xfId="2" applyNumberFormat="1" applyFont="1" applyFill="1" applyBorder="1" applyAlignment="1">
      <alignment horizontal="center"/>
    </xf>
    <xf numFmtId="0" fontId="26" fillId="11" borderId="3" xfId="2" applyFont="1" applyFill="1" applyBorder="1" applyAlignment="1">
      <alignment horizontal="center"/>
    </xf>
    <xf numFmtId="0" fontId="25" fillId="11" borderId="19" xfId="2" applyFont="1" applyFill="1" applyBorder="1" applyAlignment="1">
      <alignment horizontal="center"/>
    </xf>
    <xf numFmtId="164" fontId="25" fillId="11" borderId="19" xfId="2" applyNumberFormat="1" applyFont="1" applyFill="1" applyBorder="1" applyAlignment="1">
      <alignment horizontal="center"/>
    </xf>
    <xf numFmtId="0" fontId="26" fillId="0" borderId="1" xfId="2" applyFont="1" applyBorder="1" applyAlignment="1">
      <alignment horizontal="center"/>
    </xf>
    <xf numFmtId="0" fontId="25" fillId="11" borderId="2" xfId="2" applyFont="1" applyFill="1" applyBorder="1" applyAlignment="1">
      <alignment horizontal="center"/>
    </xf>
    <xf numFmtId="0" fontId="23" fillId="0" borderId="1" xfId="2" quotePrefix="1" applyFont="1" applyBorder="1"/>
    <xf numFmtId="0" fontId="0" fillId="0" borderId="10" xfId="0" applyBorder="1" applyAlignment="1">
      <alignment vertical="center" wrapText="1"/>
    </xf>
    <xf numFmtId="0" fontId="23" fillId="0" borderId="3" xfId="2" applyFont="1" applyBorder="1"/>
    <xf numFmtId="166" fontId="23" fillId="10" borderId="27" xfId="2" applyNumberFormat="1" applyFont="1" applyFill="1" applyBorder="1" applyAlignment="1">
      <alignment horizontal="center" vertical="center"/>
    </xf>
    <xf numFmtId="0" fontId="23" fillId="0" borderId="11" xfId="2" applyFont="1" applyBorder="1" applyAlignment="1">
      <alignment vertical="center"/>
    </xf>
    <xf numFmtId="0" fontId="23" fillId="0" borderId="1" xfId="2" applyFont="1" applyBorder="1" applyAlignment="1">
      <alignment vertical="center"/>
    </xf>
    <xf numFmtId="164" fontId="23" fillId="10" borderId="31" xfId="2" applyNumberFormat="1" applyFont="1" applyFill="1" applyBorder="1" applyAlignment="1">
      <alignment horizontal="center" vertical="center"/>
    </xf>
    <xf numFmtId="0" fontId="24" fillId="10" borderId="28" xfId="2" applyFont="1" applyFill="1" applyBorder="1" applyAlignment="1">
      <alignment horizontal="right" vertical="center"/>
    </xf>
    <xf numFmtId="0" fontId="54" fillId="24" borderId="26" xfId="2" applyFont="1" applyFill="1" applyBorder="1" applyAlignment="1">
      <alignment horizontal="right" vertical="center"/>
    </xf>
    <xf numFmtId="0" fontId="0" fillId="12" borderId="1" xfId="0" applyFill="1" applyBorder="1" applyAlignment="1">
      <alignment vertical="center"/>
    </xf>
    <xf numFmtId="0" fontId="0" fillId="12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12" borderId="1" xfId="0" applyFont="1" applyFill="1" applyBorder="1" applyAlignment="1">
      <alignment horizontal="center" vertical="center"/>
    </xf>
    <xf numFmtId="169" fontId="1" fillId="11" borderId="1" xfId="0" applyNumberFormat="1" applyFont="1" applyFill="1" applyBorder="1" applyAlignment="1">
      <alignment horizontal="center" vertical="center" wrapText="1"/>
    </xf>
    <xf numFmtId="169" fontId="0" fillId="11" borderId="1" xfId="0" applyNumberFormat="1" applyFill="1" applyBorder="1" applyAlignment="1">
      <alignment vertical="center"/>
    </xf>
    <xf numFmtId="0" fontId="25" fillId="0" borderId="1" xfId="2" quotePrefix="1" applyFont="1" applyBorder="1"/>
    <xf numFmtId="0" fontId="1" fillId="19" borderId="10" xfId="0" applyFont="1" applyFill="1" applyBorder="1" applyAlignment="1">
      <alignment horizontal="center" vertical="center"/>
    </xf>
    <xf numFmtId="0" fontId="0" fillId="19" borderId="13" xfId="0" applyFill="1" applyBorder="1" applyAlignment="1">
      <alignment horizontal="center"/>
    </xf>
    <xf numFmtId="0" fontId="0" fillId="19" borderId="11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12" borderId="1" xfId="0" applyFill="1" applyBorder="1" applyAlignment="1">
      <alignment horizontal="left" vertical="center" wrapText="1"/>
    </xf>
    <xf numFmtId="0" fontId="0" fillId="11" borderId="1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10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12" borderId="1" xfId="0" applyFont="1" applyFill="1" applyBorder="1" applyAlignment="1">
      <alignment horizontal="left" vertical="center" wrapText="1"/>
    </xf>
    <xf numFmtId="0" fontId="0" fillId="12" borderId="1" xfId="0" applyFill="1" applyBorder="1"/>
    <xf numFmtId="0" fontId="1" fillId="19" borderId="10" xfId="0" applyFont="1" applyFill="1" applyBorder="1" applyAlignment="1">
      <alignment horizontal="right"/>
    </xf>
    <xf numFmtId="0" fontId="1" fillId="19" borderId="11" xfId="0" applyFont="1" applyFill="1" applyBorder="1" applyAlignment="1">
      <alignment horizontal="right"/>
    </xf>
    <xf numFmtId="0" fontId="1" fillId="20" borderId="1" xfId="0" applyFont="1" applyFill="1" applyBorder="1" applyAlignment="1">
      <alignment horizontal="right"/>
    </xf>
    <xf numFmtId="0" fontId="1" fillId="20" borderId="10" xfId="0" applyFont="1" applyFill="1" applyBorder="1" applyAlignment="1">
      <alignment horizontal="center" vertical="center"/>
    </xf>
    <xf numFmtId="0" fontId="0" fillId="20" borderId="13" xfId="0" applyFill="1" applyBorder="1" applyAlignment="1">
      <alignment horizontal="center"/>
    </xf>
    <xf numFmtId="0" fontId="0" fillId="20" borderId="11" xfId="0" applyFill="1" applyBorder="1" applyAlignment="1">
      <alignment horizontal="center"/>
    </xf>
    <xf numFmtId="0" fontId="1" fillId="19" borderId="1" xfId="0" applyFont="1" applyFill="1" applyBorder="1" applyAlignment="1">
      <alignment horizontal="right"/>
    </xf>
    <xf numFmtId="0" fontId="0" fillId="12" borderId="4" xfId="0" applyFill="1" applyBorder="1" applyAlignment="1">
      <alignment horizontal="left" vertical="center" wrapText="1"/>
    </xf>
    <xf numFmtId="0" fontId="0" fillId="12" borderId="14" xfId="0" applyFill="1" applyBorder="1" applyAlignment="1">
      <alignment horizontal="left" vertical="center" wrapText="1"/>
    </xf>
    <xf numFmtId="0" fontId="0" fillId="12" borderId="5" xfId="0" applyFill="1" applyBorder="1" applyAlignment="1">
      <alignment horizontal="left" vertical="center" wrapText="1"/>
    </xf>
    <xf numFmtId="0" fontId="0" fillId="12" borderId="6" xfId="0" applyFill="1" applyBorder="1" applyAlignment="1">
      <alignment horizontal="left" vertical="center" wrapText="1"/>
    </xf>
    <xf numFmtId="0" fontId="0" fillId="12" borderId="15" xfId="0" applyFill="1" applyBorder="1" applyAlignment="1">
      <alignment horizontal="left" vertical="center" wrapText="1"/>
    </xf>
    <xf numFmtId="0" fontId="0" fillId="12" borderId="7" xfId="0" applyFill="1" applyBorder="1" applyAlignment="1">
      <alignment horizontal="left" vertical="center" wrapText="1"/>
    </xf>
    <xf numFmtId="0" fontId="0" fillId="22" borderId="2" xfId="0" applyFill="1" applyBorder="1" applyAlignment="1">
      <alignment horizontal="center" vertical="center" wrapText="1"/>
    </xf>
    <xf numFmtId="0" fontId="0" fillId="22" borderId="12" xfId="0" applyFill="1" applyBorder="1" applyAlignment="1">
      <alignment horizontal="center" vertical="center" wrapText="1"/>
    </xf>
    <xf numFmtId="0" fontId="0" fillId="22" borderId="3" xfId="0" applyFill="1" applyBorder="1" applyAlignment="1">
      <alignment horizontal="center" vertical="center" wrapText="1"/>
    </xf>
    <xf numFmtId="0" fontId="1" fillId="23" borderId="12" xfId="0" applyFont="1" applyFill="1" applyBorder="1" applyAlignment="1">
      <alignment horizontal="center" vertical="center" wrapText="1"/>
    </xf>
    <xf numFmtId="0" fontId="1" fillId="23" borderId="3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9" borderId="1" xfId="0" applyFont="1" applyFill="1" applyBorder="1" applyAlignment="1">
      <alignment horizontal="center" wrapText="1"/>
    </xf>
    <xf numFmtId="0" fontId="1" fillId="16" borderId="10" xfId="0" applyFont="1" applyFill="1" applyBorder="1" applyAlignment="1">
      <alignment horizontal="center" vertical="center"/>
    </xf>
    <xf numFmtId="0" fontId="0" fillId="16" borderId="13" xfId="0" applyFill="1" applyBorder="1" applyAlignment="1">
      <alignment horizontal="center"/>
    </xf>
    <xf numFmtId="0" fontId="0" fillId="16" borderId="11" xfId="0" applyFill="1" applyBorder="1" applyAlignment="1">
      <alignment horizontal="center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/>
    <xf numFmtId="0" fontId="1" fillId="2" borderId="1" xfId="0" applyFont="1" applyFill="1" applyBorder="1" applyAlignment="1">
      <alignment horizontal="left" vertical="center" wrapText="1"/>
    </xf>
    <xf numFmtId="0" fontId="37" fillId="12" borderId="10" xfId="2" applyFont="1" applyFill="1" applyBorder="1" applyAlignment="1" applyProtection="1">
      <alignment horizontal="center"/>
      <protection locked="0"/>
    </xf>
    <xf numFmtId="0" fontId="37" fillId="12" borderId="11" xfId="2" applyFont="1" applyFill="1" applyBorder="1" applyAlignment="1" applyProtection="1">
      <alignment horizontal="center"/>
      <protection locked="0"/>
    </xf>
    <xf numFmtId="49" fontId="1" fillId="4" borderId="0" xfId="0" applyNumberFormat="1" applyFont="1" applyFill="1" applyAlignment="1">
      <alignment horizontal="center"/>
    </xf>
    <xf numFmtId="0" fontId="0" fillId="0" borderId="2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" fillId="11" borderId="1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13" borderId="10" xfId="0" applyFill="1" applyBorder="1" applyAlignment="1">
      <alignment horizontal="center" wrapText="1"/>
    </xf>
    <xf numFmtId="0" fontId="0" fillId="13" borderId="11" xfId="0" applyFill="1" applyBorder="1" applyAlignment="1">
      <alignment horizontal="center" wrapText="1"/>
    </xf>
    <xf numFmtId="0" fontId="1" fillId="13" borderId="10" xfId="0" applyFont="1" applyFill="1" applyBorder="1" applyAlignment="1">
      <alignment horizontal="center" wrapText="1"/>
    </xf>
    <xf numFmtId="0" fontId="1" fillId="13" borderId="1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6" borderId="1" xfId="0" applyFill="1" applyBorder="1" applyAlignment="1">
      <alignment horizontal="left" vertical="top" wrapText="1"/>
    </xf>
    <xf numFmtId="0" fontId="0" fillId="11" borderId="2" xfId="0" applyFill="1" applyBorder="1" applyAlignment="1">
      <alignment horizontal="left" vertical="top" wrapText="1"/>
    </xf>
    <xf numFmtId="0" fontId="0" fillId="11" borderId="12" xfId="0" applyFill="1" applyBorder="1" applyAlignment="1">
      <alignment horizontal="left" vertical="top" wrapText="1"/>
    </xf>
    <xf numFmtId="0" fontId="0" fillId="11" borderId="3" xfId="0" applyFill="1" applyBorder="1" applyAlignment="1">
      <alignment horizontal="left" vertical="top" wrapText="1"/>
    </xf>
    <xf numFmtId="0" fontId="0" fillId="13" borderId="10" xfId="0" applyFill="1" applyBorder="1" applyAlignment="1">
      <alignment horizontal="center" vertical="center" wrapText="1"/>
    </xf>
    <xf numFmtId="0" fontId="0" fillId="13" borderId="11" xfId="0" applyFill="1" applyBorder="1" applyAlignment="1">
      <alignment horizontal="center" vertical="center" wrapText="1"/>
    </xf>
    <xf numFmtId="0" fontId="1" fillId="13" borderId="10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left" vertical="center" wrapText="1"/>
    </xf>
    <xf numFmtId="0" fontId="1" fillId="12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left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11" borderId="2" xfId="0" applyFill="1" applyBorder="1" applyAlignment="1">
      <alignment horizontal="left" vertical="center" wrapText="1"/>
    </xf>
    <xf numFmtId="0" fontId="0" fillId="11" borderId="12" xfId="0" applyFill="1" applyBorder="1" applyAlignment="1">
      <alignment horizontal="left" vertical="center" wrapText="1"/>
    </xf>
    <xf numFmtId="0" fontId="0" fillId="11" borderId="3" xfId="0" applyFill="1" applyBorder="1" applyAlignment="1">
      <alignment vertical="center" wrapText="1"/>
    </xf>
    <xf numFmtId="0" fontId="0" fillId="0" borderId="10" xfId="0" applyBorder="1" applyAlignment="1">
      <alignment horizontal="right" vertical="center" wrapText="1"/>
    </xf>
    <xf numFmtId="0" fontId="0" fillId="0" borderId="11" xfId="0" applyBorder="1" applyAlignment="1">
      <alignment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6" xfId="0" applyFill="1" applyBorder="1" applyAlignment="1">
      <alignment vertical="center" wrapText="1"/>
    </xf>
    <xf numFmtId="0" fontId="0" fillId="3" borderId="7" xfId="0" applyFill="1" applyBorder="1" applyAlignment="1">
      <alignment vertical="center" wrapText="1"/>
    </xf>
    <xf numFmtId="0" fontId="0" fillId="11" borderId="3" xfId="0" applyFill="1" applyBorder="1" applyAlignment="1">
      <alignment horizontal="left" vertical="center" wrapText="1"/>
    </xf>
    <xf numFmtId="0" fontId="0" fillId="0" borderId="5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25" fillId="0" borderId="10" xfId="2" applyFont="1" applyBorder="1" applyAlignment="1">
      <alignment horizontal="center"/>
    </xf>
    <xf numFmtId="0" fontId="25" fillId="0" borderId="13" xfId="2" applyFont="1" applyBorder="1" applyAlignment="1">
      <alignment horizontal="center"/>
    </xf>
    <xf numFmtId="0" fontId="25" fillId="0" borderId="11" xfId="2" applyFont="1" applyBorder="1" applyAlignment="1">
      <alignment horizontal="center"/>
    </xf>
    <xf numFmtId="0" fontId="54" fillId="25" borderId="10" xfId="2" applyFont="1" applyFill="1" applyBorder="1" applyAlignment="1">
      <alignment horizontal="center"/>
    </xf>
    <xf numFmtId="0" fontId="54" fillId="25" borderId="13" xfId="2" applyFont="1" applyFill="1" applyBorder="1" applyAlignment="1">
      <alignment horizontal="center"/>
    </xf>
    <xf numFmtId="0" fontId="54" fillId="25" borderId="11" xfId="2" applyFont="1" applyFill="1" applyBorder="1" applyAlignment="1">
      <alignment horizontal="center"/>
    </xf>
    <xf numFmtId="0" fontId="29" fillId="0" borderId="4" xfId="2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5" xfId="0" applyBorder="1" applyAlignment="1">
      <alignment wrapText="1"/>
    </xf>
    <xf numFmtId="0" fontId="0" fillId="0" borderId="8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9" xfId="0" applyBorder="1" applyAlignment="1">
      <alignment wrapText="1"/>
    </xf>
    <xf numFmtId="0" fontId="0" fillId="0" borderId="6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7" xfId="0" applyBorder="1" applyAlignment="1">
      <alignment wrapText="1"/>
    </xf>
    <xf numFmtId="0" fontId="25" fillId="11" borderId="24" xfId="2" applyFont="1" applyFill="1" applyBorder="1" applyAlignment="1">
      <alignment horizontal="center" vertical="center"/>
    </xf>
    <xf numFmtId="0" fontId="25" fillId="11" borderId="12" xfId="2" applyFont="1" applyFill="1" applyBorder="1" applyAlignment="1">
      <alignment horizontal="center" vertical="center"/>
    </xf>
    <xf numFmtId="0" fontId="25" fillId="11" borderId="25" xfId="2" applyFont="1" applyFill="1" applyBorder="1" applyAlignment="1">
      <alignment horizontal="center" vertical="center"/>
    </xf>
    <xf numFmtId="0" fontId="54" fillId="24" borderId="30" xfId="2" applyFont="1" applyFill="1" applyBorder="1" applyAlignment="1">
      <alignment horizontal="right" vertical="center"/>
    </xf>
    <xf numFmtId="0" fontId="54" fillId="24" borderId="29" xfId="2" applyFont="1" applyFill="1" applyBorder="1" applyAlignment="1">
      <alignment horizontal="right" vertical="center"/>
    </xf>
    <xf numFmtId="0" fontId="54" fillId="25" borderId="10" xfId="2" applyFont="1" applyFill="1" applyBorder="1" applyAlignment="1">
      <alignment horizontal="center" wrapText="1"/>
    </xf>
    <xf numFmtId="0" fontId="54" fillId="25" borderId="13" xfId="2" applyFont="1" applyFill="1" applyBorder="1" applyAlignment="1">
      <alignment horizontal="center" wrapText="1"/>
    </xf>
    <xf numFmtId="0" fontId="54" fillId="25" borderId="11" xfId="2" applyFont="1" applyFill="1" applyBorder="1" applyAlignment="1">
      <alignment horizontal="center" wrapText="1"/>
    </xf>
    <xf numFmtId="0" fontId="0" fillId="12" borderId="1" xfId="0" applyFill="1" applyBorder="1" applyAlignment="1">
      <alignment horizontal="left" vertical="top" wrapText="1"/>
    </xf>
    <xf numFmtId="0" fontId="0" fillId="8" borderId="2" xfId="0" applyFill="1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0" fillId="0" borderId="3" xfId="0" applyBorder="1" applyAlignment="1">
      <alignment wrapText="1"/>
    </xf>
    <xf numFmtId="165" fontId="0" fillId="3" borderId="2" xfId="0" applyNumberFormat="1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165" fontId="0" fillId="3" borderId="2" xfId="0" applyNumberFormat="1" applyFill="1" applyBorder="1" applyAlignment="1">
      <alignment horizontal="left" wrapText="1"/>
    </xf>
    <xf numFmtId="0" fontId="0" fillId="3" borderId="12" xfId="0" applyFill="1" applyBorder="1" applyAlignment="1">
      <alignment horizontal="left" wrapText="1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mruColors>
      <color rgb="FFFFFF99"/>
      <color rgb="FFFFFFFF"/>
      <color rgb="FFFFCCCC"/>
      <color rgb="FFFFCCFF"/>
      <color rgb="FFFFFF66"/>
      <color rgb="FFFF66FF"/>
      <color rgb="FFFF00FF"/>
      <color rgb="FFCCFF99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Standard</a:t>
            </a:r>
            <a:r>
              <a:rPr lang="en-US" sz="1400" baseline="0"/>
              <a:t> </a:t>
            </a:r>
            <a:r>
              <a:rPr lang="en-US" sz="1400"/>
              <a:t>Normal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221335540604594"/>
          <c:y val="0.16563124336572591"/>
          <c:w val="0.82638509808915395"/>
          <c:h val="0.68088426609291741"/>
        </c:manualLayout>
      </c:layout>
      <c:scatterChart>
        <c:scatterStyle val="lineMarker"/>
        <c:varyColors val="0"/>
        <c:ser>
          <c:idx val="0"/>
          <c:order val="0"/>
          <c:tx>
            <c:v>Normal Distribution</c:v>
          </c:tx>
          <c:marker>
            <c:symbol val="none"/>
          </c:marker>
          <c:xVal>
            <c:numRef>
              <c:f>'Prob.Functions &amp; Links'!$L$30:$L$110</c:f>
              <c:numCache>
                <c:formatCode>0.0</c:formatCode>
                <c:ptCount val="81"/>
                <c:pt idx="0">
                  <c:v>-4</c:v>
                </c:pt>
                <c:pt idx="1">
                  <c:v>-3.9</c:v>
                </c:pt>
                <c:pt idx="2">
                  <c:v>-3.8</c:v>
                </c:pt>
                <c:pt idx="3">
                  <c:v>-3.6999999999999997</c:v>
                </c:pt>
                <c:pt idx="4">
                  <c:v>-3.5999999999999996</c:v>
                </c:pt>
                <c:pt idx="5">
                  <c:v>-3.4999999999999996</c:v>
                </c:pt>
                <c:pt idx="6">
                  <c:v>-3.3999999999999995</c:v>
                </c:pt>
                <c:pt idx="7">
                  <c:v>-3.2999999999999994</c:v>
                </c:pt>
                <c:pt idx="8">
                  <c:v>-3.1999999999999993</c:v>
                </c:pt>
                <c:pt idx="9">
                  <c:v>-3.0999999999999992</c:v>
                </c:pt>
                <c:pt idx="10">
                  <c:v>-2.9999999999999991</c:v>
                </c:pt>
                <c:pt idx="11">
                  <c:v>-2.899999999999999</c:v>
                </c:pt>
                <c:pt idx="12">
                  <c:v>-2.7999999999999989</c:v>
                </c:pt>
                <c:pt idx="13">
                  <c:v>-2.6999999999999988</c:v>
                </c:pt>
                <c:pt idx="14">
                  <c:v>-2.5999999999999988</c:v>
                </c:pt>
                <c:pt idx="15">
                  <c:v>-2.4999999999999987</c:v>
                </c:pt>
                <c:pt idx="16">
                  <c:v>-2.3999999999999986</c:v>
                </c:pt>
                <c:pt idx="17">
                  <c:v>-2.2999999999999985</c:v>
                </c:pt>
                <c:pt idx="18">
                  <c:v>-2.1999999999999984</c:v>
                </c:pt>
                <c:pt idx="19">
                  <c:v>-2.0999999999999983</c:v>
                </c:pt>
                <c:pt idx="20">
                  <c:v>-1.9999999999999982</c:v>
                </c:pt>
                <c:pt idx="21">
                  <c:v>-1.8999999999999981</c:v>
                </c:pt>
                <c:pt idx="22">
                  <c:v>-1.799999999999998</c:v>
                </c:pt>
                <c:pt idx="23">
                  <c:v>-1.699999999999998</c:v>
                </c:pt>
                <c:pt idx="24">
                  <c:v>-1.5999999999999979</c:v>
                </c:pt>
                <c:pt idx="25">
                  <c:v>-1.4999999999999978</c:v>
                </c:pt>
                <c:pt idx="26">
                  <c:v>-1.3999999999999977</c:v>
                </c:pt>
                <c:pt idx="27">
                  <c:v>-1.2999999999999976</c:v>
                </c:pt>
                <c:pt idx="28">
                  <c:v>-1.1999999999999975</c:v>
                </c:pt>
                <c:pt idx="29">
                  <c:v>-1.0999999999999974</c:v>
                </c:pt>
                <c:pt idx="30">
                  <c:v>-0.99999999999999745</c:v>
                </c:pt>
                <c:pt idx="31">
                  <c:v>-0.89999999999999747</c:v>
                </c:pt>
                <c:pt idx="32">
                  <c:v>-0.79999999999999749</c:v>
                </c:pt>
                <c:pt idx="33">
                  <c:v>-0.69999999999999751</c:v>
                </c:pt>
                <c:pt idx="34">
                  <c:v>-0.59999999999999754</c:v>
                </c:pt>
                <c:pt idx="35">
                  <c:v>-0.49999999999999756</c:v>
                </c:pt>
                <c:pt idx="36">
                  <c:v>-0.39999999999999758</c:v>
                </c:pt>
                <c:pt idx="37">
                  <c:v>-0.2999999999999976</c:v>
                </c:pt>
                <c:pt idx="38">
                  <c:v>-0.1999999999999976</c:v>
                </c:pt>
                <c:pt idx="39">
                  <c:v>-9.9999999999997591E-2</c:v>
                </c:pt>
                <c:pt idx="40">
                  <c:v>2.4147350785597155E-15</c:v>
                </c:pt>
                <c:pt idx="41">
                  <c:v>0.10000000000000242</c:v>
                </c:pt>
                <c:pt idx="42">
                  <c:v>0.20000000000000243</c:v>
                </c:pt>
                <c:pt idx="43">
                  <c:v>0.30000000000000243</c:v>
                </c:pt>
                <c:pt idx="44">
                  <c:v>0.40000000000000246</c:v>
                </c:pt>
                <c:pt idx="45">
                  <c:v>0.50000000000000244</c:v>
                </c:pt>
                <c:pt idx="46">
                  <c:v>0.60000000000000242</c:v>
                </c:pt>
                <c:pt idx="47">
                  <c:v>0.7000000000000024</c:v>
                </c:pt>
                <c:pt idx="48">
                  <c:v>0.80000000000000238</c:v>
                </c:pt>
                <c:pt idx="49">
                  <c:v>0.90000000000000235</c:v>
                </c:pt>
                <c:pt idx="50">
                  <c:v>1.0000000000000024</c:v>
                </c:pt>
                <c:pt idx="51">
                  <c:v>1.1000000000000025</c:v>
                </c:pt>
                <c:pt idx="52">
                  <c:v>1.2000000000000026</c:v>
                </c:pt>
                <c:pt idx="53">
                  <c:v>1.3000000000000027</c:v>
                </c:pt>
                <c:pt idx="54">
                  <c:v>1.4000000000000028</c:v>
                </c:pt>
                <c:pt idx="55">
                  <c:v>1.5000000000000029</c:v>
                </c:pt>
                <c:pt idx="56">
                  <c:v>1.600000000000003</c:v>
                </c:pt>
                <c:pt idx="57">
                  <c:v>1.7000000000000031</c:v>
                </c:pt>
                <c:pt idx="58">
                  <c:v>1.8000000000000032</c:v>
                </c:pt>
                <c:pt idx="59">
                  <c:v>1.9000000000000032</c:v>
                </c:pt>
                <c:pt idx="60">
                  <c:v>2.0000000000000031</c:v>
                </c:pt>
                <c:pt idx="61">
                  <c:v>2.1000000000000032</c:v>
                </c:pt>
                <c:pt idx="62">
                  <c:v>2.2000000000000033</c:v>
                </c:pt>
                <c:pt idx="63">
                  <c:v>2.3000000000000034</c:v>
                </c:pt>
                <c:pt idx="64">
                  <c:v>2.4000000000000035</c:v>
                </c:pt>
                <c:pt idx="65">
                  <c:v>2.5000000000000036</c:v>
                </c:pt>
                <c:pt idx="66">
                  <c:v>2.6000000000000036</c:v>
                </c:pt>
                <c:pt idx="67">
                  <c:v>2.7000000000000037</c:v>
                </c:pt>
                <c:pt idx="68">
                  <c:v>2.8000000000000038</c:v>
                </c:pt>
                <c:pt idx="69">
                  <c:v>2.9000000000000039</c:v>
                </c:pt>
                <c:pt idx="70">
                  <c:v>3.000000000000004</c:v>
                </c:pt>
                <c:pt idx="71">
                  <c:v>3.1000000000000041</c:v>
                </c:pt>
                <c:pt idx="72">
                  <c:v>3.2000000000000042</c:v>
                </c:pt>
                <c:pt idx="73">
                  <c:v>3.3000000000000043</c:v>
                </c:pt>
                <c:pt idx="74">
                  <c:v>3.4000000000000044</c:v>
                </c:pt>
                <c:pt idx="75">
                  <c:v>3.5000000000000044</c:v>
                </c:pt>
                <c:pt idx="76">
                  <c:v>3.6000000000000045</c:v>
                </c:pt>
                <c:pt idx="77">
                  <c:v>3.7000000000000046</c:v>
                </c:pt>
                <c:pt idx="78">
                  <c:v>3.8000000000000047</c:v>
                </c:pt>
                <c:pt idx="79">
                  <c:v>3.9000000000000048</c:v>
                </c:pt>
                <c:pt idx="80">
                  <c:v>4.0000000000000044</c:v>
                </c:pt>
              </c:numCache>
            </c:numRef>
          </c:xVal>
          <c:yVal>
            <c:numRef>
              <c:f>'Prob.Functions &amp; Links'!$N$30:$N$110</c:f>
              <c:numCache>
                <c:formatCode>General</c:formatCode>
                <c:ptCount val="81"/>
                <c:pt idx="0">
                  <c:v>1.3383022576488537E-4</c:v>
                </c:pt>
                <c:pt idx="1">
                  <c:v>1.9865547139277272E-4</c:v>
                </c:pt>
                <c:pt idx="2">
                  <c:v>2.9194692579146027E-4</c:v>
                </c:pt>
                <c:pt idx="3">
                  <c:v>4.2478027055075219E-4</c:v>
                </c:pt>
                <c:pt idx="4">
                  <c:v>6.1190193011377298E-4</c:v>
                </c:pt>
                <c:pt idx="5">
                  <c:v>8.7268269504576167E-4</c:v>
                </c:pt>
                <c:pt idx="6">
                  <c:v>1.232219168473021E-3</c:v>
                </c:pt>
                <c:pt idx="7">
                  <c:v>1.7225689390536843E-3</c:v>
                </c:pt>
                <c:pt idx="8">
                  <c:v>2.3840882014648486E-3</c:v>
                </c:pt>
                <c:pt idx="9">
                  <c:v>3.2668190561999273E-3</c:v>
                </c:pt>
                <c:pt idx="10">
                  <c:v>4.4318484119380188E-3</c:v>
                </c:pt>
                <c:pt idx="11">
                  <c:v>5.9525324197758694E-3</c:v>
                </c:pt>
                <c:pt idx="12">
                  <c:v>7.9154515829799894E-3</c:v>
                </c:pt>
                <c:pt idx="13">
                  <c:v>1.0420934814422628E-2</c:v>
                </c:pt>
                <c:pt idx="14">
                  <c:v>1.3582969233685661E-2</c:v>
                </c:pt>
                <c:pt idx="15">
                  <c:v>1.7528300493568599E-2</c:v>
                </c:pt>
                <c:pt idx="16">
                  <c:v>2.2394530294842969E-2</c:v>
                </c:pt>
                <c:pt idx="17">
                  <c:v>2.8327037741601276E-2</c:v>
                </c:pt>
                <c:pt idx="18">
                  <c:v>3.547459284623157E-2</c:v>
                </c:pt>
                <c:pt idx="19">
                  <c:v>4.3983595980427351E-2</c:v>
                </c:pt>
                <c:pt idx="20">
                  <c:v>5.399096651318825E-2</c:v>
                </c:pt>
                <c:pt idx="21">
                  <c:v>6.5615814774676831E-2</c:v>
                </c:pt>
                <c:pt idx="22">
                  <c:v>7.8950158300894427E-2</c:v>
                </c:pt>
                <c:pt idx="23">
                  <c:v>9.4049077376887252E-2</c:v>
                </c:pt>
                <c:pt idx="24">
                  <c:v>0.11092083467945592</c:v>
                </c:pt>
                <c:pt idx="25">
                  <c:v>0.12951759566589216</c:v>
                </c:pt>
                <c:pt idx="26">
                  <c:v>0.14972746563574535</c:v>
                </c:pt>
                <c:pt idx="27">
                  <c:v>0.17136859204780791</c:v>
                </c:pt>
                <c:pt idx="28">
                  <c:v>0.19418605498321354</c:v>
                </c:pt>
                <c:pt idx="29">
                  <c:v>0.21785217703255116</c:v>
                </c:pt>
                <c:pt idx="30">
                  <c:v>0.24197072451914398</c:v>
                </c:pt>
                <c:pt idx="31">
                  <c:v>0.26608524989875543</c:v>
                </c:pt>
                <c:pt idx="32">
                  <c:v>0.28969155276148334</c:v>
                </c:pt>
                <c:pt idx="33">
                  <c:v>0.31225393336676183</c:v>
                </c:pt>
                <c:pt idx="34">
                  <c:v>0.33322460289180011</c:v>
                </c:pt>
                <c:pt idx="35">
                  <c:v>0.35206532676429991</c:v>
                </c:pt>
                <c:pt idx="36">
                  <c:v>0.36827014030332367</c:v>
                </c:pt>
                <c:pt idx="37">
                  <c:v>0.38138781546052442</c:v>
                </c:pt>
                <c:pt idx="38">
                  <c:v>0.3910426939754561</c:v>
                </c:pt>
                <c:pt idx="39">
                  <c:v>0.39695254747701186</c:v>
                </c:pt>
                <c:pt idx="40">
                  <c:v>0.3989422804014327</c:v>
                </c:pt>
                <c:pt idx="41">
                  <c:v>0.3969525474770117</c:v>
                </c:pt>
                <c:pt idx="42">
                  <c:v>0.39104269397545571</c:v>
                </c:pt>
                <c:pt idx="43">
                  <c:v>0.3813878154605238</c:v>
                </c:pt>
                <c:pt idx="44">
                  <c:v>0.36827014030332295</c:v>
                </c:pt>
                <c:pt idx="45">
                  <c:v>0.35206532676429908</c:v>
                </c:pt>
                <c:pt idx="46">
                  <c:v>0.33322460289179917</c:v>
                </c:pt>
                <c:pt idx="47">
                  <c:v>0.31225393336676072</c:v>
                </c:pt>
                <c:pt idx="48">
                  <c:v>0.28969155276148217</c:v>
                </c:pt>
                <c:pt idx="49">
                  <c:v>0.26608524989875426</c:v>
                </c:pt>
                <c:pt idx="50">
                  <c:v>0.24197072451914278</c:v>
                </c:pt>
                <c:pt idx="51">
                  <c:v>0.21785217703254997</c:v>
                </c:pt>
                <c:pt idx="52">
                  <c:v>0.19418605498321231</c:v>
                </c:pt>
                <c:pt idx="53">
                  <c:v>0.17136859204780677</c:v>
                </c:pt>
                <c:pt idx="54">
                  <c:v>0.14972746563574427</c:v>
                </c:pt>
                <c:pt idx="55">
                  <c:v>0.12951759566589116</c:v>
                </c:pt>
                <c:pt idx="56">
                  <c:v>0.11092083467945503</c:v>
                </c:pt>
                <c:pt idx="57">
                  <c:v>9.4049077376886434E-2</c:v>
                </c:pt>
                <c:pt idx="58">
                  <c:v>7.8950158300893719E-2</c:v>
                </c:pt>
                <c:pt idx="59">
                  <c:v>6.5615814774676193E-2</c:v>
                </c:pt>
                <c:pt idx="60">
                  <c:v>5.3990966513187716E-2</c:v>
                </c:pt>
                <c:pt idx="61">
                  <c:v>4.39835959804269E-2</c:v>
                </c:pt>
                <c:pt idx="62">
                  <c:v>3.5474592846231189E-2</c:v>
                </c:pt>
                <c:pt idx="63">
                  <c:v>2.8327037741600961E-2</c:v>
                </c:pt>
                <c:pt idx="64">
                  <c:v>2.2394530294842712E-2</c:v>
                </c:pt>
                <c:pt idx="65">
                  <c:v>1.7528300493568381E-2</c:v>
                </c:pt>
                <c:pt idx="66">
                  <c:v>1.3582969233685486E-2</c:v>
                </c:pt>
                <c:pt idx="67">
                  <c:v>1.0420934814422488E-2</c:v>
                </c:pt>
                <c:pt idx="68">
                  <c:v>7.9154515829798801E-3</c:v>
                </c:pt>
                <c:pt idx="69">
                  <c:v>5.9525324197757853E-3</c:v>
                </c:pt>
                <c:pt idx="70">
                  <c:v>4.4318484119379529E-3</c:v>
                </c:pt>
                <c:pt idx="71">
                  <c:v>3.2668190561998783E-3</c:v>
                </c:pt>
                <c:pt idx="72">
                  <c:v>2.3840882014648105E-3</c:v>
                </c:pt>
                <c:pt idx="73">
                  <c:v>1.7225689390536552E-3</c:v>
                </c:pt>
                <c:pt idx="74">
                  <c:v>1.2322191684730013E-3</c:v>
                </c:pt>
                <c:pt idx="75">
                  <c:v>8.7268269504574606E-4</c:v>
                </c:pt>
                <c:pt idx="76">
                  <c:v>6.1190193011376214E-4</c:v>
                </c:pt>
                <c:pt idx="77">
                  <c:v>4.2478027055074428E-4</c:v>
                </c:pt>
                <c:pt idx="78">
                  <c:v>2.9194692579145507E-4</c:v>
                </c:pt>
                <c:pt idx="79">
                  <c:v>1.9865547139276881E-4</c:v>
                </c:pt>
                <c:pt idx="80">
                  <c:v>1.3383022576488298E-4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6EA-4285-9718-6D849F8BB35B}"/>
            </c:ext>
          </c:extLst>
        </c:ser>
        <c:ser>
          <c:idx val="1"/>
          <c:order val="1"/>
          <c:tx>
            <c:v>LowerLimit</c:v>
          </c:tx>
          <c:marker>
            <c:symbol val="none"/>
          </c:marker>
          <c:xVal>
            <c:numRef>
              <c:f>'Prob.Functions &amp; Links'!$J$29:$J$30</c:f>
              <c:numCache>
                <c:formatCode>0.0000</c:formatCode>
                <c:ptCount val="2"/>
                <c:pt idx="0">
                  <c:v>-3</c:v>
                </c:pt>
                <c:pt idx="1">
                  <c:v>-3</c:v>
                </c:pt>
              </c:numCache>
            </c:numRef>
          </c:xVal>
          <c:yVal>
            <c:numRef>
              <c:f>'Prob.Functions &amp; Links'!$K$29:$K$30</c:f>
              <c:numCache>
                <c:formatCode>0.0000</c:formatCode>
                <c:ptCount val="2"/>
                <c:pt idx="0">
                  <c:v>0</c:v>
                </c:pt>
                <c:pt idx="1">
                  <c:v>4.4318484119380075E-3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6EA-4285-9718-6D849F8BB35B}"/>
            </c:ext>
          </c:extLst>
        </c:ser>
        <c:ser>
          <c:idx val="2"/>
          <c:order val="2"/>
          <c:tx>
            <c:strRef>
              <c:f>'Prob.Functions &amp; Links'!$I$18</c:f>
              <c:strCache>
                <c:ptCount val="1"/>
                <c:pt idx="0">
                  <c:v>Upper Limit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'Prob.Functions &amp; Links'!$J$31:$J$32</c:f>
              <c:numCache>
                <c:formatCode>0.0000</c:formatCode>
                <c:ptCount val="2"/>
                <c:pt idx="0">
                  <c:v>-0.45602923264311773</c:v>
                </c:pt>
                <c:pt idx="1">
                  <c:v>-0.45602923264311773</c:v>
                </c:pt>
              </c:numCache>
            </c:numRef>
          </c:xVal>
          <c:yVal>
            <c:numRef>
              <c:f>'Prob.Functions &amp; Links'!$K$31:$K$32</c:f>
              <c:numCache>
                <c:formatCode>0.0000</c:formatCode>
                <c:ptCount val="2"/>
                <c:pt idx="0">
                  <c:v>0</c:v>
                </c:pt>
                <c:pt idx="1">
                  <c:v>0.35954358774052014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6EA-4285-9718-6D849F8BB35B}"/>
            </c:ext>
          </c:extLst>
        </c:ser>
        <c:ser>
          <c:idx val="3"/>
          <c:order val="3"/>
          <c:tx>
            <c:v>prob</c:v>
          </c:tx>
          <c:marker>
            <c:symbol val="none"/>
          </c:marker>
          <c:xVal>
            <c:numRef>
              <c:f>'Prob.Functions &amp; Links'!$J$33:$J$34</c:f>
              <c:numCache>
                <c:formatCode>0.0000</c:formatCode>
                <c:ptCount val="2"/>
                <c:pt idx="0">
                  <c:v>-3</c:v>
                </c:pt>
                <c:pt idx="1">
                  <c:v>-0.45602923264311773</c:v>
                </c:pt>
              </c:numCache>
            </c:numRef>
          </c:xVal>
          <c:yVal>
            <c:numRef>
              <c:f>'Prob.Functions &amp; Links'!$K$33:$K$34</c:f>
              <c:numCache>
                <c:formatCode>0.0000</c:formatCode>
                <c:ptCount val="2"/>
                <c:pt idx="0">
                  <c:v>4.4318484119380075E-3</c:v>
                </c:pt>
                <c:pt idx="1">
                  <c:v>4.4318484119380075E-3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6EA-4285-9718-6D849F8BB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938816"/>
        <c:axId val="33945088"/>
      </c:scatterChart>
      <c:valAx>
        <c:axId val="33938816"/>
        <c:scaling>
          <c:orientation val="minMax"/>
          <c:max val="3"/>
          <c:min val="-3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z-score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nextTo"/>
        <c:crossAx val="33945088"/>
        <c:crosses val="autoZero"/>
        <c:crossBetween val="midCat"/>
        <c:minorUnit val="0.4"/>
      </c:valAx>
      <c:valAx>
        <c:axId val="33945088"/>
        <c:scaling>
          <c:orientation val="minMax"/>
          <c:max val="0.45"/>
          <c:min val="0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33938816"/>
        <c:crossesAt val="-5"/>
        <c:crossBetween val="midCat"/>
      </c:valAx>
      <c:spPr>
        <a:ln>
          <a:solidFill>
            <a:schemeClr val="accent2">
              <a:lumMod val="75000"/>
            </a:schemeClr>
          </a:solidFill>
        </a:ln>
      </c:spPr>
    </c:plotArea>
    <c:plotVisOnly val="1"/>
    <c:dispBlanksAs val="zero"/>
    <c:showDLblsOverMax val="0"/>
  </c:chart>
  <c:spPr>
    <a:solidFill>
      <a:schemeClr val="bg1">
        <a:lumMod val="85000"/>
      </a:schemeClr>
    </a:solidFill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Correlation &amp; Linear Regression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51863707399783"/>
          <c:y val="0.27315413580831072"/>
          <c:w val="0.76452012049307272"/>
          <c:h val="0.61307944485919941"/>
        </c:manualLayout>
      </c:layout>
      <c:scatterChart>
        <c:scatterStyle val="lineMarker"/>
        <c:varyColors val="0"/>
        <c:ser>
          <c:idx val="0"/>
          <c:order val="0"/>
          <c:tx>
            <c:strRef>
              <c:f>Correlation_Regression!$D$1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9.8220416108361949E-2"/>
                  <c:y val="0.30334060361968568"/>
                </c:manualLayout>
              </c:layout>
              <c:numFmt formatCode="General" sourceLinked="0"/>
              <c:spPr>
                <a:solidFill>
                  <a:schemeClr val="accent2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Correlation_Regression!$C$2:$C$1001</c:f>
              <c:numCache>
                <c:formatCode>General</c:formatCode>
                <c:ptCount val="1000"/>
                <c:pt idx="0">
                  <c:v>4.7</c:v>
                </c:pt>
                <c:pt idx="1">
                  <c:v>6.7</c:v>
                </c:pt>
                <c:pt idx="2">
                  <c:v>8.1</c:v>
                </c:pt>
                <c:pt idx="3">
                  <c:v>4.1500000000000004</c:v>
                </c:pt>
                <c:pt idx="4">
                  <c:v>5.0999999999999996</c:v>
                </c:pt>
                <c:pt idx="5">
                  <c:v>5</c:v>
                </c:pt>
                <c:pt idx="6">
                  <c:v>5</c:v>
                </c:pt>
                <c:pt idx="7">
                  <c:v>4.7</c:v>
                </c:pt>
                <c:pt idx="8">
                  <c:v>6.2</c:v>
                </c:pt>
              </c:numCache>
            </c:numRef>
          </c:xVal>
          <c:yVal>
            <c:numRef>
              <c:f>Correlation_Regression!$D$2:$D$1001</c:f>
              <c:numCache>
                <c:formatCode>General</c:formatCode>
                <c:ptCount val="1000"/>
                <c:pt idx="0">
                  <c:v>163</c:v>
                </c:pt>
                <c:pt idx="1">
                  <c:v>215</c:v>
                </c:pt>
                <c:pt idx="2">
                  <c:v>222</c:v>
                </c:pt>
                <c:pt idx="3">
                  <c:v>104</c:v>
                </c:pt>
                <c:pt idx="4">
                  <c:v>162</c:v>
                </c:pt>
                <c:pt idx="5">
                  <c:v>158</c:v>
                </c:pt>
                <c:pt idx="6">
                  <c:v>155</c:v>
                </c:pt>
                <c:pt idx="7">
                  <c:v>158</c:v>
                </c:pt>
                <c:pt idx="8">
                  <c:v>195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831-40B1-80B8-11C904460365}"/>
            </c:ext>
          </c:extLst>
        </c:ser>
        <c:ser>
          <c:idx val="1"/>
          <c:order val="1"/>
          <c:tx>
            <c:v>Mean_Y</c:v>
          </c:tx>
          <c:spPr>
            <a:ln w="25400" cap="rnd">
              <a:noFill/>
              <a:round/>
            </a:ln>
            <a:effectLst/>
          </c:spPr>
          <c:marker>
            <c:symbol val="plus"/>
            <c:size val="7"/>
            <c:spPr>
              <a:noFill/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Correlation_Regression!$H$4</c:f>
              <c:numCache>
                <c:formatCode>0.000</c:formatCode>
                <c:ptCount val="1"/>
                <c:pt idx="0">
                  <c:v>5.5166666666666675</c:v>
                </c:pt>
              </c:numCache>
            </c:numRef>
          </c:xVal>
          <c:yVal>
            <c:numRef>
              <c:f>Correlation_Regression!$H$6</c:f>
              <c:numCache>
                <c:formatCode>0.000</c:formatCode>
                <c:ptCount val="1"/>
                <c:pt idx="0">
                  <c:v>170.22222222222223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831-40B1-80B8-11C904460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129216"/>
        <c:axId val="35131776"/>
      </c:scatterChart>
      <c:valAx>
        <c:axId val="35129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31776"/>
        <c:crossesAt val="-1000"/>
        <c:crossBetween val="midCat"/>
      </c:valAx>
      <c:valAx>
        <c:axId val="3513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129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/>
              <a:t>Uniform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Uniform</c:v>
          </c:tx>
          <c:spPr>
            <a:ln w="38100" cap="rnd">
              <a:solidFill>
                <a:schemeClr val="accent2">
                  <a:alpha val="52000"/>
                </a:schemeClr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'Prob.Functions &amp; Links'!$C$36:$C$39</c:f>
              <c:numCache>
                <c:formatCode>0.0000</c:formatCode>
                <c:ptCount val="4"/>
                <c:pt idx="0">
                  <c:v>3</c:v>
                </c:pt>
                <c:pt idx="1">
                  <c:v>2</c:v>
                </c:pt>
                <c:pt idx="2">
                  <c:v>8</c:v>
                </c:pt>
                <c:pt idx="3">
                  <c:v>8</c:v>
                </c:pt>
              </c:numCache>
            </c:numRef>
          </c:xVal>
          <c:yVal>
            <c:numRef>
              <c:f>'Prob.Functions &amp; Links'!$D$36:$D$39</c:f>
              <c:numCache>
                <c:formatCode>0.0000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EB3-442F-95F7-B74B8E9F33A3}"/>
            </c:ext>
          </c:extLst>
        </c:ser>
        <c:ser>
          <c:idx val="0"/>
          <c:order val="1"/>
          <c:tx>
            <c:v>P(X)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'Prob.Functions &amp; Links'!#REF!</c:f>
              <c:strCache>
                <c:ptCount val="1"/>
                <c:pt idx="0">
                  <c:v>#REF!</c:v>
                </c:pt>
              </c:strCache>
            </c:strRef>
          </c:xVal>
          <c:yVal>
            <c:numRef>
              <c:f>'Prob.Functions &amp; Links'!#REF!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EB3-442F-95F7-B74B8E9F3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954816"/>
        <c:axId val="33956608"/>
      </c:scatterChart>
      <c:valAx>
        <c:axId val="33954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956608"/>
        <c:crosses val="autoZero"/>
        <c:crossBetween val="midCat"/>
      </c:valAx>
      <c:valAx>
        <c:axId val="33956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954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/>
              <a:t>Frequency Bar Chart</a:t>
            </a:r>
          </a:p>
        </c:rich>
      </c:tx>
      <c:layout>
        <c:manualLayout>
          <c:xMode val="edge"/>
          <c:yMode val="edge"/>
          <c:x val="0.36528359486979023"/>
          <c:y val="4.73468788429418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559574845304493"/>
          <c:y val="0.14828897338403041"/>
          <c:w val="0.78274037022289522"/>
          <c:h val="0.60456273764258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BarChart!$B$4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BarChart!$A$5:$A$12</c:f>
              <c:strCache>
                <c:ptCount val="6"/>
                <c:pt idx="0">
                  <c:v>Ford</c:v>
                </c:pt>
                <c:pt idx="1">
                  <c:v>Chevy</c:v>
                </c:pt>
                <c:pt idx="2">
                  <c:v>Honda</c:v>
                </c:pt>
                <c:pt idx="3">
                  <c:v>Toyota</c:v>
                </c:pt>
                <c:pt idx="4">
                  <c:v>Nissan</c:v>
                </c:pt>
                <c:pt idx="5">
                  <c:v>Others</c:v>
                </c:pt>
              </c:strCache>
            </c:strRef>
          </c:cat>
          <c:val>
            <c:numRef>
              <c:f>BarChart!$B$5:$B$12</c:f>
              <c:numCache>
                <c:formatCode>General</c:formatCode>
                <c:ptCount val="8"/>
                <c:pt idx="0">
                  <c:v>5</c:v>
                </c:pt>
                <c:pt idx="1">
                  <c:v>12</c:v>
                </c:pt>
                <c:pt idx="2">
                  <c:v>6</c:v>
                </c:pt>
                <c:pt idx="3">
                  <c:v>12</c:v>
                </c:pt>
                <c:pt idx="4">
                  <c:v>10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A9-4506-8F55-FE5A03883C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4746752"/>
        <c:axId val="34749440"/>
      </c:barChart>
      <c:catAx>
        <c:axId val="34746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749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7494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400"/>
                  <a:t>Frequency</a:t>
                </a:r>
              </a:p>
            </c:rich>
          </c:tx>
          <c:layout>
            <c:manualLayout>
              <c:xMode val="edge"/>
              <c:yMode val="edge"/>
              <c:x val="1.1904761904761904E-2"/>
              <c:y val="0.321926489226869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7467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/>
              <a:t>Relative Frequency Bar Chart</a:t>
            </a:r>
          </a:p>
        </c:rich>
      </c:tx>
      <c:layout>
        <c:manualLayout>
          <c:xMode val="edge"/>
          <c:yMode val="edge"/>
          <c:x val="0.23910976188217437"/>
          <c:y val="3.80228645915904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615597829032433"/>
          <c:y val="0.14828897338403041"/>
          <c:w val="0.73254887386864254"/>
          <c:h val="0.60456273764258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BarChart!$C$4</c:f>
              <c:strCache>
                <c:ptCount val="1"/>
                <c:pt idx="0">
                  <c:v>Relative Frequency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0" sourceLinked="0"/>
            <c:spPr>
              <a:solidFill>
                <a:schemeClr val="bg1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BarChart!$A$5:$A$12</c:f>
              <c:strCache>
                <c:ptCount val="6"/>
                <c:pt idx="0">
                  <c:v>Ford</c:v>
                </c:pt>
                <c:pt idx="1">
                  <c:v>Chevy</c:v>
                </c:pt>
                <c:pt idx="2">
                  <c:v>Honda</c:v>
                </c:pt>
                <c:pt idx="3">
                  <c:v>Toyota</c:v>
                </c:pt>
                <c:pt idx="4">
                  <c:v>Nissan</c:v>
                </c:pt>
                <c:pt idx="5">
                  <c:v>Others</c:v>
                </c:pt>
              </c:strCache>
            </c:strRef>
          </c:cat>
          <c:val>
            <c:numRef>
              <c:f>BarChart!$C$5:$C$12</c:f>
              <c:numCache>
                <c:formatCode>0.0000</c:formatCode>
                <c:ptCount val="8"/>
                <c:pt idx="0">
                  <c:v>0.1</c:v>
                </c:pt>
                <c:pt idx="1">
                  <c:v>0.24</c:v>
                </c:pt>
                <c:pt idx="2">
                  <c:v>0.12</c:v>
                </c:pt>
                <c:pt idx="3">
                  <c:v>0.24</c:v>
                </c:pt>
                <c:pt idx="4">
                  <c:v>0.2</c:v>
                </c:pt>
                <c:pt idx="5">
                  <c:v>0.1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A-4ABC-805D-BA95B91C40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4773632"/>
        <c:axId val="34780672"/>
      </c:barChart>
      <c:catAx>
        <c:axId val="34773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780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7806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400"/>
                  <a:t>Relative Freq</a:t>
                </a:r>
              </a:p>
            </c:rich>
          </c:tx>
          <c:layout>
            <c:manualLayout>
              <c:xMode val="edge"/>
              <c:yMode val="edge"/>
              <c:x val="2.359882005899705E-2"/>
              <c:y val="0.26742712294043092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477363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Horizontal Frequency Bar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BarChart!$B$4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BarChart!$A$5:$A$12</c:f>
              <c:strCache>
                <c:ptCount val="6"/>
                <c:pt idx="0">
                  <c:v>Ford</c:v>
                </c:pt>
                <c:pt idx="1">
                  <c:v>Chevy</c:v>
                </c:pt>
                <c:pt idx="2">
                  <c:v>Honda</c:v>
                </c:pt>
                <c:pt idx="3">
                  <c:v>Toyota</c:v>
                </c:pt>
                <c:pt idx="4">
                  <c:v>Nissan</c:v>
                </c:pt>
                <c:pt idx="5">
                  <c:v>Others</c:v>
                </c:pt>
              </c:strCache>
            </c:strRef>
          </c:cat>
          <c:val>
            <c:numRef>
              <c:f>BarChart!$B$5:$B$12</c:f>
              <c:numCache>
                <c:formatCode>General</c:formatCode>
                <c:ptCount val="8"/>
                <c:pt idx="0">
                  <c:v>5</c:v>
                </c:pt>
                <c:pt idx="1">
                  <c:v>12</c:v>
                </c:pt>
                <c:pt idx="2">
                  <c:v>6</c:v>
                </c:pt>
                <c:pt idx="3">
                  <c:v>12</c:v>
                </c:pt>
                <c:pt idx="4">
                  <c:v>10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B4-4660-9A14-DD9395CCBB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4789632"/>
        <c:axId val="34795520"/>
      </c:barChart>
      <c:catAx>
        <c:axId val="347896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95520"/>
        <c:crosses val="autoZero"/>
        <c:auto val="1"/>
        <c:lblAlgn val="ctr"/>
        <c:lblOffset val="100"/>
        <c:noMultiLvlLbl val="0"/>
      </c:catAx>
      <c:valAx>
        <c:axId val="34795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789632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Horizontal</a:t>
            </a:r>
            <a:r>
              <a:rPr lang="en-US" baseline="0"/>
              <a:t> </a:t>
            </a:r>
            <a:r>
              <a:rPr lang="en-US"/>
              <a:t>Relative Frequency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BarChart!$C$4</c:f>
              <c:strCache>
                <c:ptCount val="1"/>
                <c:pt idx="0">
                  <c:v>Relative 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BarChart!$A$5:$A$12</c:f>
              <c:strCache>
                <c:ptCount val="6"/>
                <c:pt idx="0">
                  <c:v>Ford</c:v>
                </c:pt>
                <c:pt idx="1">
                  <c:v>Chevy</c:v>
                </c:pt>
                <c:pt idx="2">
                  <c:v>Honda</c:v>
                </c:pt>
                <c:pt idx="3">
                  <c:v>Toyota</c:v>
                </c:pt>
                <c:pt idx="4">
                  <c:v>Nissan</c:v>
                </c:pt>
                <c:pt idx="5">
                  <c:v>Others</c:v>
                </c:pt>
              </c:strCache>
            </c:strRef>
          </c:cat>
          <c:val>
            <c:numRef>
              <c:f>BarChart!$C$5:$C$12</c:f>
              <c:numCache>
                <c:formatCode>0.0000</c:formatCode>
                <c:ptCount val="8"/>
                <c:pt idx="0">
                  <c:v>0.1</c:v>
                </c:pt>
                <c:pt idx="1">
                  <c:v>0.24</c:v>
                </c:pt>
                <c:pt idx="2">
                  <c:v>0.12</c:v>
                </c:pt>
                <c:pt idx="3">
                  <c:v>0.24</c:v>
                </c:pt>
                <c:pt idx="4">
                  <c:v>0.2</c:v>
                </c:pt>
                <c:pt idx="5">
                  <c:v>0.1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51-4344-A00C-E46195305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4812288"/>
        <c:axId val="34813824"/>
      </c:barChart>
      <c:catAx>
        <c:axId val="34812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13824"/>
        <c:crosses val="autoZero"/>
        <c:auto val="1"/>
        <c:lblAlgn val="ctr"/>
        <c:lblOffset val="100"/>
        <c:noMultiLvlLbl val="0"/>
      </c:catAx>
      <c:valAx>
        <c:axId val="348138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12288"/>
        <c:crosses val="autoZero"/>
        <c:crossBetween val="between"/>
      </c:valAx>
      <c:spPr>
        <a:noFill/>
        <a:ln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spPr>
            <a:solidFill>
              <a:srgbClr val="4F81BD"/>
            </a:solidFill>
            <a:ln w="25400">
              <a:solidFill>
                <a:sysClr val="windowText" lastClr="000000"/>
              </a:solidFill>
            </a:ln>
          </c:spPr>
          <c:invertIfNegative val="0"/>
          <c:dLbls>
            <c:spPr>
              <a:solidFill>
                <a:schemeClr val="accent1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Histogram1!$AA$6:$AA$82</c:f>
              <c:strCache>
                <c:ptCount val="77"/>
                <c:pt idx="0">
                  <c:v>2.2-12.2</c:v>
                </c:pt>
                <c:pt idx="1">
                  <c:v>12.2-22.2</c:v>
                </c:pt>
                <c:pt idx="2">
                  <c:v>22.2-32.2</c:v>
                </c:pt>
                <c:pt idx="3">
                  <c:v>32.2-42.2</c:v>
                </c:pt>
                <c:pt idx="4">
                  <c:v>42.2-52.2</c:v>
                </c:pt>
                <c:pt idx="5">
                  <c:v>52.2-62.2</c:v>
                </c:pt>
                <c:pt idx="6">
                  <c:v>62.2-72.2</c:v>
                </c:pt>
                <c:pt idx="7">
                  <c:v>72.2-82.2</c:v>
                </c:pt>
                <c:pt idx="8">
                  <c:v>82.2-92.2</c:v>
                </c:pt>
                <c:pt idx="9">
                  <c:v>92.2-102.2</c:v>
                </c:pt>
                <c:pt idx="10">
                  <c:v>102.2-112.2</c:v>
                </c:pt>
                <c:pt idx="11">
                  <c:v>112.2-122.2</c:v>
                </c:pt>
                <c:pt idx="12">
                  <c:v>122.2-132.2</c:v>
                </c:pt>
                <c:pt idx="13">
                  <c:v>132.2-142.2</c:v>
                </c:pt>
                <c:pt idx="14">
                  <c:v>-</c:v>
                </c:pt>
                <c:pt idx="15">
                  <c:v>-</c:v>
                </c:pt>
                <c:pt idx="16">
                  <c:v>-</c:v>
                </c:pt>
                <c:pt idx="17">
                  <c:v>-</c:v>
                </c:pt>
                <c:pt idx="18">
                  <c:v>-</c:v>
                </c:pt>
                <c:pt idx="19">
                  <c:v>-</c:v>
                </c:pt>
                <c:pt idx="20">
                  <c:v>-</c:v>
                </c:pt>
                <c:pt idx="21">
                  <c:v>-</c:v>
                </c:pt>
                <c:pt idx="22">
                  <c:v>-</c:v>
                </c:pt>
                <c:pt idx="23">
                  <c:v>-</c:v>
                </c:pt>
                <c:pt idx="24">
                  <c:v>-</c:v>
                </c:pt>
                <c:pt idx="25">
                  <c:v>-</c:v>
                </c:pt>
                <c:pt idx="26">
                  <c:v>-</c:v>
                </c:pt>
                <c:pt idx="27">
                  <c:v>-</c:v>
                </c:pt>
                <c:pt idx="28">
                  <c:v>-</c:v>
                </c:pt>
                <c:pt idx="29">
                  <c:v>-</c:v>
                </c:pt>
                <c:pt idx="30">
                  <c:v>-</c:v>
                </c:pt>
                <c:pt idx="31">
                  <c:v>-</c:v>
                </c:pt>
                <c:pt idx="32">
                  <c:v>-</c:v>
                </c:pt>
                <c:pt idx="33">
                  <c:v>-</c:v>
                </c:pt>
                <c:pt idx="34">
                  <c:v>-</c:v>
                </c:pt>
                <c:pt idx="35">
                  <c:v>-</c:v>
                </c:pt>
                <c:pt idx="36">
                  <c:v>-</c:v>
                </c:pt>
                <c:pt idx="37">
                  <c:v>-</c:v>
                </c:pt>
                <c:pt idx="38">
                  <c:v>-</c:v>
                </c:pt>
                <c:pt idx="39">
                  <c:v>-</c:v>
                </c:pt>
                <c:pt idx="40">
                  <c:v>-</c:v>
                </c:pt>
                <c:pt idx="41">
                  <c:v>-</c:v>
                </c:pt>
                <c:pt idx="42">
                  <c:v>-</c:v>
                </c:pt>
                <c:pt idx="43">
                  <c:v>-</c:v>
                </c:pt>
                <c:pt idx="44">
                  <c:v>-</c:v>
                </c:pt>
                <c:pt idx="45">
                  <c:v>-</c:v>
                </c:pt>
                <c:pt idx="46">
                  <c:v>-</c:v>
                </c:pt>
                <c:pt idx="47">
                  <c:v>-</c:v>
                </c:pt>
                <c:pt idx="48">
                  <c:v>-</c:v>
                </c:pt>
                <c:pt idx="49">
                  <c:v>-</c:v>
                </c:pt>
                <c:pt idx="50">
                  <c:v>-</c:v>
                </c:pt>
                <c:pt idx="51">
                  <c:v>-</c:v>
                </c:pt>
                <c:pt idx="52">
                  <c:v>-</c:v>
                </c:pt>
                <c:pt idx="53">
                  <c:v>-</c:v>
                </c:pt>
                <c:pt idx="54">
                  <c:v>-</c:v>
                </c:pt>
                <c:pt idx="55">
                  <c:v>-</c:v>
                </c:pt>
                <c:pt idx="56">
                  <c:v>-</c:v>
                </c:pt>
                <c:pt idx="57">
                  <c:v>-</c:v>
                </c:pt>
                <c:pt idx="58">
                  <c:v>-</c:v>
                </c:pt>
                <c:pt idx="59">
                  <c:v>-</c:v>
                </c:pt>
                <c:pt idx="60">
                  <c:v>-</c:v>
                </c:pt>
                <c:pt idx="61">
                  <c:v>-</c:v>
                </c:pt>
                <c:pt idx="62">
                  <c:v>-</c:v>
                </c:pt>
                <c:pt idx="63">
                  <c:v>-</c:v>
                </c:pt>
                <c:pt idx="64">
                  <c:v>-</c:v>
                </c:pt>
                <c:pt idx="65">
                  <c:v>-</c:v>
                </c:pt>
                <c:pt idx="66">
                  <c:v>-</c:v>
                </c:pt>
                <c:pt idx="67">
                  <c:v>-</c:v>
                </c:pt>
                <c:pt idx="68">
                  <c:v>-</c:v>
                </c:pt>
                <c:pt idx="69">
                  <c:v>-</c:v>
                </c:pt>
                <c:pt idx="70">
                  <c:v>-</c:v>
                </c:pt>
                <c:pt idx="71">
                  <c:v>-</c:v>
                </c:pt>
                <c:pt idx="72">
                  <c:v>-</c:v>
                </c:pt>
                <c:pt idx="73">
                  <c:v>-</c:v>
                </c:pt>
                <c:pt idx="74">
                  <c:v>-</c:v>
                </c:pt>
                <c:pt idx="75">
                  <c:v>-</c:v>
                </c:pt>
                <c:pt idx="76">
                  <c:v>-</c:v>
                </c:pt>
              </c:strCache>
            </c:strRef>
          </c:cat>
          <c:val>
            <c:numRef>
              <c:f>Histogram1!$E$6:$E$15</c:f>
              <c:numCache>
                <c:formatCode>General</c:formatCode>
                <c:ptCount val="10"/>
                <c:pt idx="0">
                  <c:v>6</c:v>
                </c:pt>
                <c:pt idx="1">
                  <c:v>22</c:v>
                </c:pt>
                <c:pt idx="2">
                  <c:v>10</c:v>
                </c:pt>
                <c:pt idx="3">
                  <c:v>4</c:v>
                </c:pt>
                <c:pt idx="4">
                  <c:v>2</c:v>
                </c:pt>
                <c:pt idx="5">
                  <c:v>1</c:v>
                </c:pt>
                <c:pt idx="6">
                  <c:v>4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13-4694-9376-70A744FCCB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4859648"/>
        <c:axId val="34865536"/>
      </c:barChart>
      <c:catAx>
        <c:axId val="34859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4865536"/>
        <c:crosses val="autoZero"/>
        <c:auto val="1"/>
        <c:lblAlgn val="ctr"/>
        <c:lblOffset val="100"/>
        <c:noMultiLvlLbl val="0"/>
      </c:catAx>
      <c:valAx>
        <c:axId val="34865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4859648"/>
        <c:crosses val="autoZero"/>
        <c:crossBetween val="between"/>
      </c:valAx>
    </c:plotArea>
    <c:plotVisOnly val="1"/>
    <c:dispBlanksAs val="gap"/>
    <c:showDLblsOverMax val="0"/>
  </c:chart>
  <c:spPr>
    <a:ln>
      <a:solidFill>
        <a:schemeClr val="tx1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Normality</a:t>
            </a:r>
            <a:r>
              <a:rPr lang="en-US" baseline="0"/>
              <a:t> Plot (QQ)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NormalityPlot!$D$1</c:f>
              <c:strCache>
                <c:ptCount val="1"/>
                <c:pt idx="0">
                  <c:v>Z-value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NormalityPlot!$A$2:$A$25</c:f>
              <c:numCache>
                <c:formatCode>General</c:formatCode>
                <c:ptCount val="24"/>
                <c:pt idx="0">
                  <c:v>182</c:v>
                </c:pt>
                <c:pt idx="1">
                  <c:v>186</c:v>
                </c:pt>
                <c:pt idx="2">
                  <c:v>190</c:v>
                </c:pt>
                <c:pt idx="3">
                  <c:v>200</c:v>
                </c:pt>
                <c:pt idx="4">
                  <c:v>200</c:v>
                </c:pt>
                <c:pt idx="5">
                  <c:v>202</c:v>
                </c:pt>
                <c:pt idx="6">
                  <c:v>214</c:v>
                </c:pt>
                <c:pt idx="7">
                  <c:v>218</c:v>
                </c:pt>
                <c:pt idx="8">
                  <c:v>218</c:v>
                </c:pt>
                <c:pt idx="9">
                  <c:v>220</c:v>
                </c:pt>
                <c:pt idx="10">
                  <c:v>220</c:v>
                </c:pt>
                <c:pt idx="11">
                  <c:v>234</c:v>
                </c:pt>
                <c:pt idx="12">
                  <c:v>236</c:v>
                </c:pt>
                <c:pt idx="13">
                  <c:v>238</c:v>
                </c:pt>
                <c:pt idx="14">
                  <c:v>240</c:v>
                </c:pt>
                <c:pt idx="15">
                  <c:v>242</c:v>
                </c:pt>
                <c:pt idx="16">
                  <c:v>244</c:v>
                </c:pt>
                <c:pt idx="17">
                  <c:v>248</c:v>
                </c:pt>
                <c:pt idx="18">
                  <c:v>248</c:v>
                </c:pt>
                <c:pt idx="19">
                  <c:v>258</c:v>
                </c:pt>
                <c:pt idx="20">
                  <c:v>270</c:v>
                </c:pt>
                <c:pt idx="21">
                  <c:v>276</c:v>
                </c:pt>
                <c:pt idx="22">
                  <c:v>278</c:v>
                </c:pt>
                <c:pt idx="23">
                  <c:v>288</c:v>
                </c:pt>
              </c:numCache>
            </c:numRef>
          </c:xVal>
          <c:yVal>
            <c:numRef>
              <c:f>NormalityPlot!$D$2:$D$25</c:f>
              <c:numCache>
                <c:formatCode>General</c:formatCode>
                <c:ptCount val="24"/>
                <c:pt idx="0">
                  <c:v>-1.9379315108528286</c:v>
                </c:pt>
                <c:pt idx="1">
                  <c:v>-1.4876542249134188</c:v>
                </c:pt>
                <c:pt idx="2">
                  <c:v>-1.2237338875341557</c:v>
                </c:pt>
                <c:pt idx="3">
                  <c:v>-1.0252120199501911</c:v>
                </c:pt>
                <c:pt idx="4">
                  <c:v>-0.86057223336461919</c:v>
                </c:pt>
                <c:pt idx="5">
                  <c:v>-0.71649750017799174</c:v>
                </c:pt>
                <c:pt idx="6">
                  <c:v>-0.58597139629043393</c:v>
                </c:pt>
                <c:pt idx="7">
                  <c:v>-0.46475730866396364</c:v>
                </c:pt>
                <c:pt idx="8">
                  <c:v>-0.35003052483247277</c:v>
                </c:pt>
                <c:pt idx="9">
                  <c:v>-0.23974710418792744</c:v>
                </c:pt>
                <c:pt idx="10">
                  <c:v>-0.13231285227617118</c:v>
                </c:pt>
                <c:pt idx="11">
                  <c:v>-2.6388623126804504E-2</c:v>
                </c:pt>
                <c:pt idx="12">
                  <c:v>7.9239527195221912E-2</c:v>
                </c:pt>
                <c:pt idx="13">
                  <c:v>0.18576177870610089</c:v>
                </c:pt>
                <c:pt idx="14">
                  <c:v>0.29444085415848614</c:v>
                </c:pt>
                <c:pt idx="15">
                  <c:v>0.40672425187136385</c:v>
                </c:pt>
                <c:pt idx="16">
                  <c:v>0.52440051270804078</c:v>
                </c:pt>
                <c:pt idx="17">
                  <c:v>0.64984944947829704</c:v>
                </c:pt>
                <c:pt idx="18">
                  <c:v>0.78649260907490137</c:v>
                </c:pt>
                <c:pt idx="19">
                  <c:v>0.93970593292280136</c:v>
                </c:pt>
                <c:pt idx="20">
                  <c:v>1.1189583810625605</c:v>
                </c:pt>
                <c:pt idx="21">
                  <c:v>1.3440031495972566</c:v>
                </c:pt>
                <c:pt idx="22">
                  <c:v>1.6709232317365708</c:v>
                </c:pt>
                <c:pt idx="23">
                  <c:v>2.5580427269867663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F6-4C1B-B3A8-8EFCE71896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88320"/>
        <c:axId val="34890880"/>
      </c:scatterChart>
      <c:valAx>
        <c:axId val="34888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90880"/>
        <c:crosses val="autoZero"/>
        <c:crossBetween val="midCat"/>
      </c:valAx>
      <c:valAx>
        <c:axId val="3489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Z-Value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888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Box Plot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3607937736106689E-2"/>
          <c:y val="0.3198611111111111"/>
          <c:w val="0.91543838089602958"/>
          <c:h val="0.62921296296296292"/>
        </c:manualLayout>
      </c:layout>
      <c:scatterChart>
        <c:scatterStyle val="lineMarker"/>
        <c:varyColors val="0"/>
        <c:ser>
          <c:idx val="0"/>
          <c:order val="0"/>
          <c:tx>
            <c:v>Box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'Summary Statistics'!$Q$12:$Q$16</c:f>
              <c:numCache>
                <c:formatCode>0.000</c:formatCode>
                <c:ptCount val="5"/>
                <c:pt idx="0">
                  <c:v>212</c:v>
                </c:pt>
                <c:pt idx="1">
                  <c:v>212</c:v>
                </c:pt>
                <c:pt idx="2">
                  <c:v>280</c:v>
                </c:pt>
                <c:pt idx="3">
                  <c:v>280</c:v>
                </c:pt>
                <c:pt idx="4" formatCode="General">
                  <c:v>212</c:v>
                </c:pt>
              </c:numCache>
            </c:numRef>
          </c:xVal>
          <c:yVal>
            <c:numRef>
              <c:f>'Summary Statistics'!$R$12:$R$16</c:f>
              <c:numCache>
                <c:formatCode>General</c:formatCode>
                <c:ptCount val="5"/>
                <c:pt idx="0">
                  <c:v>1</c:v>
                </c:pt>
                <c:pt idx="1">
                  <c:v>-1</c:v>
                </c:pt>
                <c:pt idx="2">
                  <c:v>-1</c:v>
                </c:pt>
                <c:pt idx="3">
                  <c:v>1</c:v>
                </c:pt>
                <c:pt idx="4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C4-42B0-90E8-3B39521B4E24}"/>
            </c:ext>
          </c:extLst>
        </c:ser>
        <c:ser>
          <c:idx val="1"/>
          <c:order val="1"/>
          <c:tx>
            <c:v>Median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'Summary Statistics'!$Q$17:$Q$18</c:f>
              <c:numCache>
                <c:formatCode>0.0000</c:formatCode>
                <c:ptCount val="2"/>
                <c:pt idx="0">
                  <c:v>266</c:v>
                </c:pt>
                <c:pt idx="1">
                  <c:v>266</c:v>
                </c:pt>
              </c:numCache>
            </c:numRef>
          </c:xVal>
          <c:yVal>
            <c:numRef>
              <c:f>'Summary Statistics'!$R$17:$R$18</c:f>
              <c:numCache>
                <c:formatCode>General</c:formatCode>
                <c:ptCount val="2"/>
                <c:pt idx="0">
                  <c:v>1</c:v>
                </c:pt>
                <c:pt idx="1">
                  <c:v>-1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C4-42B0-90E8-3B39521B4E24}"/>
            </c:ext>
          </c:extLst>
        </c:ser>
        <c:ser>
          <c:idx val="3"/>
          <c:order val="2"/>
          <c:tx>
            <c:v>Fences</c:v>
          </c:tx>
          <c:spPr>
            <a:ln w="38100" cap="flat">
              <a:solidFill>
                <a:schemeClr val="accent1"/>
              </a:solidFill>
              <a:round/>
              <a:headEnd type="diamond" w="lg" len="med"/>
              <a:tailEnd type="diamond" w="lg" len="med"/>
            </a:ln>
            <a:effectLst/>
          </c:spPr>
          <c:marker>
            <c:symbol val="none"/>
          </c:marker>
          <c:xVal>
            <c:numRef>
              <c:f>'Summary Statistics'!$Q$19:$Q$20</c:f>
              <c:numCache>
                <c:formatCode>0.000</c:formatCode>
                <c:ptCount val="2"/>
                <c:pt idx="0">
                  <c:v>110</c:v>
                </c:pt>
                <c:pt idx="1">
                  <c:v>382</c:v>
                </c:pt>
              </c:numCache>
            </c:numRef>
          </c:xVal>
          <c:yVal>
            <c:numRef>
              <c:f>'Summary Statistics'!$R$19:$R$20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C4-42B0-90E8-3B39521B4E24}"/>
            </c:ext>
          </c:extLst>
        </c:ser>
        <c:ser>
          <c:idx val="2"/>
          <c:order val="3"/>
          <c:tx>
            <c:v>Data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'Summary Statistics'!$C$3:$C$100</c:f>
              <c:numCache>
                <c:formatCode>General</c:formatCode>
                <c:ptCount val="98"/>
                <c:pt idx="0">
                  <c:v>270</c:v>
                </c:pt>
                <c:pt idx="1">
                  <c:v>236</c:v>
                </c:pt>
                <c:pt idx="2">
                  <c:v>210</c:v>
                </c:pt>
                <c:pt idx="3">
                  <c:v>142</c:v>
                </c:pt>
                <c:pt idx="4">
                  <c:v>280</c:v>
                </c:pt>
                <c:pt idx="5">
                  <c:v>272</c:v>
                </c:pt>
                <c:pt idx="6">
                  <c:v>160</c:v>
                </c:pt>
                <c:pt idx="7">
                  <c:v>220</c:v>
                </c:pt>
                <c:pt idx="8">
                  <c:v>226</c:v>
                </c:pt>
                <c:pt idx="9">
                  <c:v>242</c:v>
                </c:pt>
                <c:pt idx="10">
                  <c:v>186</c:v>
                </c:pt>
                <c:pt idx="11">
                  <c:v>266</c:v>
                </c:pt>
                <c:pt idx="12">
                  <c:v>206</c:v>
                </c:pt>
                <c:pt idx="13">
                  <c:v>318</c:v>
                </c:pt>
                <c:pt idx="14">
                  <c:v>294</c:v>
                </c:pt>
                <c:pt idx="15">
                  <c:v>282</c:v>
                </c:pt>
                <c:pt idx="16">
                  <c:v>234</c:v>
                </c:pt>
                <c:pt idx="17">
                  <c:v>224</c:v>
                </c:pt>
                <c:pt idx="18">
                  <c:v>276</c:v>
                </c:pt>
                <c:pt idx="19">
                  <c:v>282</c:v>
                </c:pt>
                <c:pt idx="20">
                  <c:v>360</c:v>
                </c:pt>
                <c:pt idx="21">
                  <c:v>310</c:v>
                </c:pt>
                <c:pt idx="22">
                  <c:v>280</c:v>
                </c:pt>
                <c:pt idx="23">
                  <c:v>278</c:v>
                </c:pt>
                <c:pt idx="24">
                  <c:v>288</c:v>
                </c:pt>
                <c:pt idx="25" formatCode="0.0000">
                  <c:v>244</c:v>
                </c:pt>
                <c:pt idx="26" formatCode="0.0000">
                  <c:v>236</c:v>
                </c:pt>
              </c:numCache>
            </c:numRef>
          </c:xVal>
          <c:yVal>
            <c:numRef>
              <c:f>'Summary Statistics'!$F$3:$F$100</c:f>
              <c:numCache>
                <c:formatCode>0.0</c:formatCode>
                <c:ptCount val="98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0.1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0.1</c:v>
                </c:pt>
                <c:pt idx="31">
                  <c:v>0.1</c:v>
                </c:pt>
                <c:pt idx="32">
                  <c:v>0.1</c:v>
                </c:pt>
                <c:pt idx="33">
                  <c:v>0.1</c:v>
                </c:pt>
                <c:pt idx="34">
                  <c:v>0.1</c:v>
                </c:pt>
                <c:pt idx="35">
                  <c:v>0.1</c:v>
                </c:pt>
                <c:pt idx="36">
                  <c:v>0.1</c:v>
                </c:pt>
                <c:pt idx="37">
                  <c:v>0.1</c:v>
                </c:pt>
                <c:pt idx="38">
                  <c:v>0.1</c:v>
                </c:pt>
                <c:pt idx="39">
                  <c:v>0.1</c:v>
                </c:pt>
                <c:pt idx="40">
                  <c:v>0.1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</c:v>
                </c:pt>
                <c:pt idx="45">
                  <c:v>0.1</c:v>
                </c:pt>
                <c:pt idx="46">
                  <c:v>0.1</c:v>
                </c:pt>
                <c:pt idx="47">
                  <c:v>0.1</c:v>
                </c:pt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0.1</c:v>
                </c:pt>
                <c:pt idx="57">
                  <c:v>0.1</c:v>
                </c:pt>
                <c:pt idx="58">
                  <c:v>0.1</c:v>
                </c:pt>
                <c:pt idx="59">
                  <c:v>0.1</c:v>
                </c:pt>
                <c:pt idx="60">
                  <c:v>0.1</c:v>
                </c:pt>
                <c:pt idx="61">
                  <c:v>0.1</c:v>
                </c:pt>
                <c:pt idx="62">
                  <c:v>0.1</c:v>
                </c:pt>
                <c:pt idx="63">
                  <c:v>0.1</c:v>
                </c:pt>
                <c:pt idx="64">
                  <c:v>0.1</c:v>
                </c:pt>
                <c:pt idx="65">
                  <c:v>0.1</c:v>
                </c:pt>
                <c:pt idx="66">
                  <c:v>0.1</c:v>
                </c:pt>
                <c:pt idx="67">
                  <c:v>0.1</c:v>
                </c:pt>
                <c:pt idx="68">
                  <c:v>0.1</c:v>
                </c:pt>
                <c:pt idx="69">
                  <c:v>0.1</c:v>
                </c:pt>
                <c:pt idx="70">
                  <c:v>0.1</c:v>
                </c:pt>
                <c:pt idx="71">
                  <c:v>0.1</c:v>
                </c:pt>
                <c:pt idx="72">
                  <c:v>0.1</c:v>
                </c:pt>
                <c:pt idx="73">
                  <c:v>0.1</c:v>
                </c:pt>
                <c:pt idx="74">
                  <c:v>0.1</c:v>
                </c:pt>
                <c:pt idx="75">
                  <c:v>0.1</c:v>
                </c:pt>
                <c:pt idx="76">
                  <c:v>0.1</c:v>
                </c:pt>
                <c:pt idx="77">
                  <c:v>0.1</c:v>
                </c:pt>
                <c:pt idx="78">
                  <c:v>0.1</c:v>
                </c:pt>
                <c:pt idx="79">
                  <c:v>0.1</c:v>
                </c:pt>
                <c:pt idx="80">
                  <c:v>0.1</c:v>
                </c:pt>
                <c:pt idx="81">
                  <c:v>0.1</c:v>
                </c:pt>
                <c:pt idx="82">
                  <c:v>0.1</c:v>
                </c:pt>
                <c:pt idx="83">
                  <c:v>0.1</c:v>
                </c:pt>
                <c:pt idx="84">
                  <c:v>0.1</c:v>
                </c:pt>
                <c:pt idx="85">
                  <c:v>0.1</c:v>
                </c:pt>
                <c:pt idx="86">
                  <c:v>0.1</c:v>
                </c:pt>
                <c:pt idx="87">
                  <c:v>0.1</c:v>
                </c:pt>
                <c:pt idx="88">
                  <c:v>0.1</c:v>
                </c:pt>
                <c:pt idx="89">
                  <c:v>0.1</c:v>
                </c:pt>
                <c:pt idx="90">
                  <c:v>0.1</c:v>
                </c:pt>
                <c:pt idx="91">
                  <c:v>0.1</c:v>
                </c:pt>
                <c:pt idx="92">
                  <c:v>0.1</c:v>
                </c:pt>
                <c:pt idx="93">
                  <c:v>0.1</c:v>
                </c:pt>
                <c:pt idx="94">
                  <c:v>0.1</c:v>
                </c:pt>
                <c:pt idx="95">
                  <c:v>0.1</c:v>
                </c:pt>
                <c:pt idx="96">
                  <c:v>0.1</c:v>
                </c:pt>
                <c:pt idx="97">
                  <c:v>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C4-42B0-90E8-3B39521B4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050240"/>
        <c:axId val="35052160"/>
      </c:scatterChart>
      <c:valAx>
        <c:axId val="35050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52160"/>
        <c:crosses val="autoZero"/>
        <c:crossBetween val="midCat"/>
      </c:valAx>
      <c:valAx>
        <c:axId val="35052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050240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4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95250</xdr:colOff>
      <xdr:row>14</xdr:row>
      <xdr:rowOff>28573</xdr:rowOff>
    </xdr:from>
    <xdr:to>
      <xdr:col>14</xdr:col>
      <xdr:colOff>581025</xdr:colOff>
      <xdr:row>24</xdr:row>
      <xdr:rowOff>87312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FC30AC4-9AF5-4AF0-943F-87427B1738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633412</xdr:colOff>
      <xdr:row>33</xdr:row>
      <xdr:rowOff>14287</xdr:rowOff>
    </xdr:from>
    <xdr:to>
      <xdr:col>5</xdr:col>
      <xdr:colOff>923925</xdr:colOff>
      <xdr:row>44</xdr:row>
      <xdr:rowOff>180975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3FD0204-55D1-4225-B1D6-FF1600314D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</xdr:colOff>
      <xdr:row>0</xdr:row>
      <xdr:rowOff>38099</xdr:rowOff>
    </xdr:from>
    <xdr:to>
      <xdr:col>8</xdr:col>
      <xdr:colOff>409574</xdr:colOff>
      <xdr:row>15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8F8CA9F-F6CE-4BA4-9EC3-E8D4468891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28575</xdr:colOff>
      <xdr:row>17</xdr:row>
      <xdr:rowOff>28575</xdr:rowOff>
    </xdr:from>
    <xdr:to>
      <xdr:col>8</xdr:col>
      <xdr:colOff>419100</xdr:colOff>
      <xdr:row>35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14D43E-7C80-4D45-BF5B-369926C78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9525</xdr:colOff>
      <xdr:row>0</xdr:row>
      <xdr:rowOff>4763</xdr:rowOff>
    </xdr:from>
    <xdr:to>
      <xdr:col>15</xdr:col>
      <xdr:colOff>400050</xdr:colOff>
      <xdr:row>16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96EBD32-5967-4A9C-98AB-EBDC86D1AA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9525</xdr:colOff>
      <xdr:row>17</xdr:row>
      <xdr:rowOff>4761</xdr:rowOff>
    </xdr:from>
    <xdr:to>
      <xdr:col>15</xdr:col>
      <xdr:colOff>428625</xdr:colOff>
      <xdr:row>35</xdr:row>
      <xdr:rowOff>123824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A07EC4F-82AF-4DCA-A9F1-2ED0B68F10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3</xdr:row>
      <xdr:rowOff>19050</xdr:rowOff>
    </xdr:from>
    <xdr:to>
      <xdr:col>13</xdr:col>
      <xdr:colOff>295275</xdr:colOff>
      <xdr:row>18</xdr:row>
      <xdr:rowOff>114300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A6B2A431-8AF5-4B8E-B315-4A71A6AFFD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19</xdr:row>
      <xdr:rowOff>0</xdr:rowOff>
    </xdr:from>
    <xdr:to>
      <xdr:col>10</xdr:col>
      <xdr:colOff>533400</xdr:colOff>
      <xdr:row>34</xdr:row>
      <xdr:rowOff>152400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3D633CA-6F13-4C08-AD72-24565C3F4BB9}"/>
            </a:ext>
          </a:extLst>
        </xdr:cNvPr>
        <xdr:cNvSpPr txBox="1"/>
      </xdr:nvSpPr>
      <xdr:spPr>
        <a:xfrm>
          <a:off x="2828925" y="3514725"/>
          <a:ext cx="3581400" cy="30099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solidFill>
                <a:schemeClr val="dk1"/>
              </a:solidFill>
              <a:latin typeface="+mn-lt"/>
              <a:ea typeface="+mn-ea"/>
              <a:cs typeface="+mn-cs"/>
            </a:rPr>
            <a:t>How to use Histogram Maker 1:</a:t>
          </a:r>
          <a:endParaRPr lang="en-US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Use </a:t>
          </a:r>
          <a:r>
            <a:rPr lang="en-US" sz="11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Delete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or  </a:t>
          </a:r>
          <a:r>
            <a:rPr lang="en-US" sz="1100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Clear Contents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to erase previous Data.</a:t>
          </a:r>
          <a:endParaRPr lang="en-US" sz="1100">
            <a:effectLst/>
          </a:endParaRP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2.  Enter the </a:t>
          </a:r>
          <a:r>
            <a:rPr lang="en-US" sz="1100" u="sng">
              <a:solidFill>
                <a:schemeClr val="dk1"/>
              </a:solidFill>
              <a:latin typeface="+mn-lt"/>
              <a:ea typeface="+mn-ea"/>
              <a:cs typeface="+mn-cs"/>
            </a:rPr>
            <a:t>data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in column A. (BLue)</a:t>
          </a:r>
          <a:endParaRPr lang="en-US" sz="110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Use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Copy 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and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Paste Special-Values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operations, or 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type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numbers directly.  </a:t>
          </a:r>
          <a:r>
            <a:rPr lang="en-US" sz="1100" b="0" i="1" u="sng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 not move the data by highlighting a range and then dragging it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 </a:t>
          </a:r>
          <a:endParaRPr lang="en-US" sz="1100">
            <a:effectLst/>
          </a:endParaRPr>
        </a:p>
        <a:p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3.  Enter the </a:t>
          </a:r>
          <a:r>
            <a:rPr lang="en-US" sz="1100" u="sng" baseline="0">
              <a:solidFill>
                <a:schemeClr val="dk1"/>
              </a:solidFill>
              <a:latin typeface="+mn-lt"/>
              <a:ea typeface="+mn-ea"/>
              <a:cs typeface="+mn-cs"/>
            </a:rPr>
            <a:t>class limits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under "Classes."  (Delete or clear any usused class limits. Do change the Class Labels or Freq.)</a:t>
          </a:r>
        </a:p>
        <a:p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 (The class width needs to be the same for all classes.)</a:t>
          </a:r>
        </a:p>
        <a:p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4. </a:t>
          </a:r>
          <a:r>
            <a:rPr lang="en-US" sz="1100" u="sng" baseline="0">
              <a:solidFill>
                <a:schemeClr val="dk1"/>
              </a:solidFill>
              <a:latin typeface="+mn-lt"/>
              <a:ea typeface="+mn-ea"/>
              <a:cs typeface="+mn-cs"/>
            </a:rPr>
            <a:t>Frequencies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are calculated automatically under "Freq." (pink/orage)</a:t>
          </a:r>
          <a:endParaRPr lang="en-US" sz="1100"/>
        </a:p>
        <a:p>
          <a:pPr fontAlgn="base"/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5. The </a:t>
          </a:r>
          <a:r>
            <a:rPr lang="en-US" sz="1100" u="sng" baseline="0">
              <a:solidFill>
                <a:schemeClr val="dk1"/>
              </a:solidFill>
              <a:latin typeface="+mn-lt"/>
              <a:ea typeface="+mn-ea"/>
              <a:cs typeface="+mn-cs"/>
            </a:rPr>
            <a:t>Histogram</a:t>
          </a:r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 is plotted automatically.</a:t>
          </a:r>
        </a:p>
        <a:p>
          <a:pPr fontAlgn="base"/>
          <a:r>
            <a:rPr lang="en-US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6. You may edit the Chart Title.</a:t>
          </a:r>
        </a:p>
        <a:p>
          <a:pPr marL="0" marR="0" lvl="0" indent="0" defTabSz="914400" eaLnBrk="1" fontAlgn="base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base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Note:  The first class contains the data that is &lt;= the upper limit and &gt;= the lower limit; other classes contain the data that is &lt;= the upper limit and &gt; the previous upper limit.</a:t>
          </a:r>
          <a:endParaRPr lang="en-US" sz="1100">
            <a:effectLst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9</xdr:row>
      <xdr:rowOff>19050</xdr:rowOff>
    </xdr:from>
    <xdr:to>
      <xdr:col>4</xdr:col>
      <xdr:colOff>4095750</xdr:colOff>
      <xdr:row>22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01CC9FA-21F8-4620-9655-FFC6BB8BBF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76200</xdr:colOff>
      <xdr:row>1</xdr:row>
      <xdr:rowOff>757237</xdr:rowOff>
    </xdr:from>
    <xdr:to>
      <xdr:col>25</xdr:col>
      <xdr:colOff>600075</xdr:colOff>
      <xdr:row>9</xdr:row>
      <xdr:rowOff>63500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D21FB5D-524B-4FB0-B942-5D324468D7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68792</xdr:colOff>
      <xdr:row>0</xdr:row>
      <xdr:rowOff>33867</xdr:rowOff>
    </xdr:from>
    <xdr:to>
      <xdr:col>9</xdr:col>
      <xdr:colOff>3344333</xdr:colOff>
      <xdr:row>14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E63A7FF-CE06-4AAB-BD19-FD597F885C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bout:bla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Histogram1"/>
      <sheetName val="Histogram2"/>
      <sheetName val="Categorical"/>
      <sheetName val="Int. Est."/>
      <sheetName val="Sample Size"/>
      <sheetName val="Hyp. Test"/>
      <sheetName val="Process Control"/>
      <sheetName val="Simple Regression"/>
      <sheetName val="Simple Regression CI &amp; PI"/>
      <sheetName val="Multiple Regress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about:blank" TargetMode="External"/><Relationship Id="rId13" Type="http://schemas.openxmlformats.org/officeDocument/2006/relationships/comments" Target="../comments1.xml"/><Relationship Id="rId3" Type="http://schemas.openxmlformats.org/officeDocument/2006/relationships/hyperlink" Target="https://homepage.stat.uiowa.edu/~mbognar/applets/bin.html" TargetMode="External"/><Relationship Id="rId7" Type="http://schemas.openxmlformats.org/officeDocument/2006/relationships/hyperlink" Target="about:blank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about:blank" TargetMode="External"/><Relationship Id="rId1" Type="http://schemas.openxmlformats.org/officeDocument/2006/relationships/hyperlink" Target="about:blank" TargetMode="External"/><Relationship Id="rId6" Type="http://schemas.openxmlformats.org/officeDocument/2006/relationships/hyperlink" Target="about:blank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about:blank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about:blank" TargetMode="External"/><Relationship Id="rId9" Type="http://schemas.openxmlformats.org/officeDocument/2006/relationships/hyperlink" Target="about:blank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about:blank" TargetMode="External"/><Relationship Id="rId2" Type="http://schemas.openxmlformats.org/officeDocument/2006/relationships/hyperlink" Target="about:blank" TargetMode="External"/><Relationship Id="rId1" Type="http://schemas.openxmlformats.org/officeDocument/2006/relationships/hyperlink" Target="about:blank" TargetMode="External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about:blank" TargetMode="External"/><Relationship Id="rId1" Type="http://schemas.openxmlformats.org/officeDocument/2006/relationships/hyperlink" Target="about:blank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about:blank" TargetMode="External"/><Relationship Id="rId1" Type="http://schemas.openxmlformats.org/officeDocument/2006/relationships/hyperlink" Target="about:blank" TargetMode="Externa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about:blank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10"/>
  <sheetViews>
    <sheetView tabSelected="1" topLeftCell="E9" zoomScale="120" zoomScaleNormal="120" workbookViewId="0">
      <selection activeCell="I19" sqref="I19"/>
    </sheetView>
  </sheetViews>
  <sheetFormatPr defaultColWidth="9.140625" defaultRowHeight="15"/>
  <cols>
    <col min="1" max="1" width="17" style="216" customWidth="1"/>
    <col min="2" max="2" width="4.7109375" style="221" customWidth="1"/>
    <col min="3" max="3" width="7.5703125" style="221" bestFit="1" customWidth="1"/>
    <col min="4" max="4" width="16.7109375" style="221" customWidth="1"/>
    <col min="5" max="5" width="12.28515625" style="216" bestFit="1" customWidth="1"/>
    <col min="6" max="6" width="14" style="216" customWidth="1"/>
    <col min="7" max="7" width="14.5703125" style="216" customWidth="1"/>
    <col min="8" max="8" width="20.7109375" style="216" bestFit="1" customWidth="1"/>
    <col min="9" max="9" width="12.140625" style="216" bestFit="1" customWidth="1"/>
    <col min="10" max="11" width="9.140625" style="216"/>
    <col min="12" max="13" width="9.28515625" style="216" bestFit="1" customWidth="1"/>
    <col min="14" max="14" width="11.5703125" style="216" bestFit="1" customWidth="1"/>
    <col min="15" max="16384" width="9.140625" style="216"/>
  </cols>
  <sheetData>
    <row r="1" spans="1:12">
      <c r="A1" s="266" t="s">
        <v>0</v>
      </c>
      <c r="C1" s="270" t="s">
        <v>1</v>
      </c>
      <c r="D1" s="270"/>
      <c r="F1" s="216" t="s">
        <v>2</v>
      </c>
    </row>
    <row r="2" spans="1:12">
      <c r="A2" s="266"/>
      <c r="C2" s="222" t="s">
        <v>3</v>
      </c>
      <c r="D2" s="215" t="s">
        <v>4</v>
      </c>
      <c r="G2" s="83" t="s">
        <v>5</v>
      </c>
    </row>
    <row r="3" spans="1:12">
      <c r="A3" s="267" t="s">
        <v>6</v>
      </c>
      <c r="C3" s="46">
        <v>6</v>
      </c>
      <c r="D3" s="84">
        <f>FACT(C3)</f>
        <v>720</v>
      </c>
      <c r="E3" s="223"/>
      <c r="F3" s="85" t="s">
        <v>7</v>
      </c>
      <c r="G3" s="224" t="s">
        <v>8</v>
      </c>
      <c r="H3" s="223"/>
      <c r="I3" s="223"/>
      <c r="J3" s="225" t="s">
        <v>9</v>
      </c>
    </row>
    <row r="4" spans="1:12">
      <c r="A4" s="267"/>
      <c r="E4" s="223"/>
      <c r="F4" s="85" t="s">
        <v>10</v>
      </c>
      <c r="G4" s="86" t="s">
        <v>11</v>
      </c>
      <c r="H4" s="223"/>
      <c r="I4" s="223"/>
      <c r="J4" s="225" t="s">
        <v>9</v>
      </c>
    </row>
    <row r="5" spans="1:12">
      <c r="A5" s="267"/>
      <c r="B5" s="270" t="s">
        <v>12</v>
      </c>
      <c r="C5" s="270"/>
      <c r="D5" s="270"/>
      <c r="F5" s="87" t="s">
        <v>10</v>
      </c>
      <c r="G5" s="226" t="s">
        <v>13</v>
      </c>
    </row>
    <row r="6" spans="1:12">
      <c r="A6" s="267"/>
      <c r="B6" s="222" t="s">
        <v>3</v>
      </c>
      <c r="C6" s="222" t="s">
        <v>14</v>
      </c>
      <c r="D6" s="215" t="s">
        <v>15</v>
      </c>
      <c r="F6" s="87" t="s">
        <v>16</v>
      </c>
      <c r="G6" s="226" t="s">
        <v>17</v>
      </c>
    </row>
    <row r="7" spans="1:12">
      <c r="A7" s="267"/>
      <c r="B7" s="46">
        <v>20</v>
      </c>
      <c r="C7" s="46">
        <v>5</v>
      </c>
      <c r="D7" s="84">
        <f>PERMUT(B7,C7)</f>
        <v>1860480</v>
      </c>
      <c r="F7" s="87" t="s">
        <v>18</v>
      </c>
      <c r="G7" s="226" t="s">
        <v>19</v>
      </c>
    </row>
    <row r="8" spans="1:12">
      <c r="A8" s="216" t="s">
        <v>20</v>
      </c>
      <c r="F8" s="87" t="s">
        <v>21</v>
      </c>
      <c r="G8" s="226" t="s">
        <v>22</v>
      </c>
      <c r="H8" s="88"/>
    </row>
    <row r="9" spans="1:12">
      <c r="B9" s="270" t="s">
        <v>23</v>
      </c>
      <c r="C9" s="270"/>
      <c r="D9" s="270"/>
      <c r="F9" s="89" t="s">
        <v>24</v>
      </c>
      <c r="G9" s="226"/>
      <c r="H9" s="88"/>
    </row>
    <row r="10" spans="1:12">
      <c r="B10" s="222" t="s">
        <v>3</v>
      </c>
      <c r="C10" s="222" t="s">
        <v>14</v>
      </c>
      <c r="D10" s="215" t="s">
        <v>25</v>
      </c>
      <c r="F10" s="87" t="s">
        <v>26</v>
      </c>
      <c r="G10" s="226" t="s">
        <v>27</v>
      </c>
    </row>
    <row r="11" spans="1:12">
      <c r="B11" s="46">
        <v>10</v>
      </c>
      <c r="C11" s="46">
        <v>3</v>
      </c>
      <c r="D11" s="84">
        <f>COMBIN(B11,C11)</f>
        <v>120</v>
      </c>
      <c r="F11" s="87" t="s">
        <v>28</v>
      </c>
      <c r="G11" s="90" t="s">
        <v>29</v>
      </c>
    </row>
    <row r="12" spans="1:12">
      <c r="B12" s="46"/>
      <c r="C12" s="46"/>
      <c r="D12" s="84"/>
      <c r="F12" s="87" t="s">
        <v>30</v>
      </c>
      <c r="G12" s="226" t="s">
        <v>31</v>
      </c>
      <c r="H12" s="227"/>
      <c r="I12" s="228"/>
    </row>
    <row r="13" spans="1:12">
      <c r="B13" s="216"/>
      <c r="C13" s="216"/>
      <c r="D13" s="216"/>
      <c r="H13" s="227"/>
      <c r="I13" s="228"/>
    </row>
    <row r="14" spans="1:12">
      <c r="B14" s="271" t="s">
        <v>32</v>
      </c>
      <c r="C14" s="271"/>
      <c r="D14" s="271"/>
      <c r="E14" s="271"/>
      <c r="F14" s="271"/>
      <c r="G14" s="260" t="s">
        <v>33</v>
      </c>
      <c r="H14" s="261"/>
      <c r="I14" s="262"/>
    </row>
    <row r="15" spans="1:12" ht="48" customHeight="1">
      <c r="B15" s="268" t="s">
        <v>34</v>
      </c>
      <c r="C15" s="269"/>
      <c r="D15" s="269"/>
      <c r="E15" s="269"/>
      <c r="F15" s="214"/>
      <c r="G15" s="274" t="s">
        <v>35</v>
      </c>
      <c r="H15" s="275"/>
      <c r="I15" s="275"/>
      <c r="J15" s="91"/>
      <c r="K15" s="92"/>
      <c r="L15" s="92"/>
    </row>
    <row r="16" spans="1:12">
      <c r="B16" s="272" t="s">
        <v>36</v>
      </c>
      <c r="C16" s="272"/>
      <c r="D16" s="272"/>
      <c r="E16" s="272"/>
      <c r="F16" s="214"/>
      <c r="G16" s="276" t="s">
        <v>37</v>
      </c>
      <c r="H16" s="277"/>
      <c r="I16" s="236">
        <v>3687.6</v>
      </c>
      <c r="J16" s="91"/>
      <c r="K16" s="92"/>
      <c r="L16" s="92"/>
    </row>
    <row r="17" spans="1:14">
      <c r="A17" s="229" t="s">
        <v>38</v>
      </c>
      <c r="B17" s="93" t="s">
        <v>3</v>
      </c>
      <c r="C17" s="93" t="s">
        <v>39</v>
      </c>
      <c r="D17" s="93" t="s">
        <v>40</v>
      </c>
      <c r="E17" s="93" t="s">
        <v>41</v>
      </c>
      <c r="F17" s="214"/>
      <c r="G17" s="276" t="s">
        <v>42</v>
      </c>
      <c r="H17" s="277"/>
      <c r="I17" s="236">
        <v>410.5</v>
      </c>
      <c r="J17" s="91"/>
      <c r="K17" s="92"/>
      <c r="L17" s="92"/>
    </row>
    <row r="18" spans="1:14" ht="30">
      <c r="A18" s="218" t="s">
        <v>43</v>
      </c>
      <c r="B18" s="46">
        <v>3</v>
      </c>
      <c r="C18" s="230">
        <v>0.25</v>
      </c>
      <c r="D18" s="46">
        <v>3</v>
      </c>
      <c r="E18" s="94">
        <f>_xlfn.BINOM.DIST(D18,B18,C18,0)</f>
        <v>1.5625000000000007E-2</v>
      </c>
      <c r="F18" s="214"/>
      <c r="G18" s="231"/>
      <c r="H18" s="95" t="s">
        <v>44</v>
      </c>
      <c r="I18" s="95" t="s">
        <v>45</v>
      </c>
      <c r="J18" s="91"/>
      <c r="K18" s="92"/>
      <c r="L18" s="92"/>
    </row>
    <row r="19" spans="1:14">
      <c r="A19" s="232" t="s">
        <v>46</v>
      </c>
      <c r="B19" s="269" t="s">
        <v>47</v>
      </c>
      <c r="C19" s="273"/>
      <c r="D19" s="273"/>
      <c r="E19" s="273"/>
      <c r="F19" s="214" t="s">
        <v>48</v>
      </c>
      <c r="G19" s="231"/>
      <c r="H19" s="43">
        <v>-9999</v>
      </c>
      <c r="I19" s="43">
        <v>3500.4</v>
      </c>
      <c r="J19" s="91"/>
      <c r="K19" s="92"/>
      <c r="L19" s="92"/>
    </row>
    <row r="20" spans="1:14">
      <c r="A20" s="220" t="s">
        <v>49</v>
      </c>
      <c r="B20" s="93" t="s">
        <v>3</v>
      </c>
      <c r="C20" s="93" t="s">
        <v>39</v>
      </c>
      <c r="D20" s="93" t="s">
        <v>40</v>
      </c>
      <c r="E20" s="93" t="s">
        <v>50</v>
      </c>
      <c r="F20" s="93" t="s">
        <v>51</v>
      </c>
      <c r="G20" s="96" t="s">
        <v>52</v>
      </c>
      <c r="H20" s="41">
        <f>(H19-$I$16)/$I$17</f>
        <v>-33.341291108404384</v>
      </c>
      <c r="I20" s="41">
        <f>(I19-$I$16)/$I$17</f>
        <v>-0.45602923264311773</v>
      </c>
      <c r="J20" s="91"/>
      <c r="K20" s="92"/>
      <c r="L20" s="92"/>
    </row>
    <row r="21" spans="1:14">
      <c r="A21" s="229" t="s">
        <v>53</v>
      </c>
      <c r="B21" s="46">
        <v>20</v>
      </c>
      <c r="C21" s="230">
        <v>0.01</v>
      </c>
      <c r="D21" s="46">
        <v>2</v>
      </c>
      <c r="E21" s="94">
        <f>_xlfn.BINOM.DIST(D21,B21,C21,1)</f>
        <v>0.9989964238318999</v>
      </c>
      <c r="F21" s="94">
        <f>1-E21</f>
        <v>1.0035761681000954E-3</v>
      </c>
      <c r="G21" s="96"/>
      <c r="H21" s="97" t="s">
        <v>54</v>
      </c>
      <c r="I21" s="39">
        <f>_xlfn.NORM.S.DIST(I20,1)-_xlfn.NORM.S.DIST(H20,1)</f>
        <v>0.32418447862828292</v>
      </c>
      <c r="J21" s="91"/>
      <c r="K21" s="92"/>
      <c r="L21" s="92"/>
    </row>
    <row r="22" spans="1:14">
      <c r="A22" s="219" t="s">
        <v>51</v>
      </c>
      <c r="B22" s="272" t="s">
        <v>55</v>
      </c>
      <c r="C22" s="272"/>
      <c r="D22" s="272"/>
      <c r="E22" s="272"/>
      <c r="F22" s="217"/>
      <c r="G22" s="279" t="s">
        <v>56</v>
      </c>
      <c r="H22" s="280"/>
      <c r="I22" s="281"/>
      <c r="J22" s="91"/>
      <c r="K22" s="92"/>
      <c r="L22" s="92"/>
    </row>
    <row r="23" spans="1:14" ht="15" customHeight="1">
      <c r="A23" s="232" t="s">
        <v>57</v>
      </c>
      <c r="B23" s="93" t="s">
        <v>3</v>
      </c>
      <c r="C23" s="93" t="s">
        <v>39</v>
      </c>
      <c r="D23" s="93" t="s">
        <v>58</v>
      </c>
      <c r="E23" s="93" t="s">
        <v>59</v>
      </c>
      <c r="F23" s="93" t="s">
        <v>60</v>
      </c>
      <c r="G23" s="283" t="s">
        <v>61</v>
      </c>
      <c r="H23" s="284"/>
      <c r="I23" s="285"/>
      <c r="J23" s="91"/>
      <c r="K23" s="92"/>
      <c r="L23" s="92"/>
    </row>
    <row r="24" spans="1:14">
      <c r="A24" s="292" t="s">
        <v>62</v>
      </c>
      <c r="B24" s="46">
        <v>20</v>
      </c>
      <c r="C24" s="230">
        <v>0.01</v>
      </c>
      <c r="D24" s="46">
        <v>4</v>
      </c>
      <c r="E24" s="46">
        <v>20</v>
      </c>
      <c r="F24" s="94">
        <f>_xlfn.BINOM.DIST.RANGE(B24,C24,D24,E24)</f>
        <v>4.26209276424402E-5</v>
      </c>
      <c r="G24" s="286"/>
      <c r="H24" s="287"/>
      <c r="I24" s="288"/>
      <c r="J24" s="91"/>
      <c r="K24" s="92"/>
      <c r="L24" s="92"/>
    </row>
    <row r="25" spans="1:14">
      <c r="A25" s="292"/>
      <c r="B25" s="294"/>
      <c r="C25" s="295"/>
      <c r="D25" s="295"/>
      <c r="E25" s="295"/>
      <c r="F25" s="296"/>
      <c r="G25" s="266" t="s">
        <v>63</v>
      </c>
      <c r="H25" s="275"/>
      <c r="I25" s="275"/>
      <c r="J25" s="91"/>
      <c r="K25" s="92"/>
      <c r="L25" s="92"/>
    </row>
    <row r="26" spans="1:14">
      <c r="A26" s="292"/>
      <c r="B26" s="297" t="s">
        <v>64</v>
      </c>
      <c r="C26" s="297"/>
      <c r="D26" s="297"/>
      <c r="E26" s="297"/>
      <c r="F26" s="297"/>
      <c r="G26" s="274" t="s">
        <v>65</v>
      </c>
      <c r="H26" s="275"/>
      <c r="I26" s="275"/>
      <c r="J26" s="91"/>
      <c r="K26" s="92"/>
      <c r="L26" s="92"/>
    </row>
    <row r="27" spans="1:14" ht="15" customHeight="1">
      <c r="A27" s="293"/>
      <c r="B27" s="234"/>
      <c r="C27" s="221" t="s">
        <v>66</v>
      </c>
      <c r="D27" s="233" t="s">
        <v>67</v>
      </c>
      <c r="E27" s="221" t="s">
        <v>68</v>
      </c>
      <c r="F27" s="235"/>
      <c r="G27" s="278" t="s">
        <v>37</v>
      </c>
      <c r="H27" s="278"/>
      <c r="I27" s="43">
        <v>272</v>
      </c>
      <c r="J27" s="98"/>
      <c r="K27" s="98" t="s">
        <v>69</v>
      </c>
      <c r="L27" s="99"/>
      <c r="M27" s="98"/>
      <c r="N27" s="98"/>
    </row>
    <row r="28" spans="1:14">
      <c r="A28" s="289" t="s">
        <v>70</v>
      </c>
      <c r="B28" s="234"/>
      <c r="C28" s="46">
        <v>3</v>
      </c>
      <c r="D28" s="46">
        <v>8</v>
      </c>
      <c r="E28" s="84">
        <f>D28-C28</f>
        <v>5</v>
      </c>
      <c r="F28" s="235"/>
      <c r="G28" s="278" t="s">
        <v>42</v>
      </c>
      <c r="H28" s="278"/>
      <c r="I28" s="43">
        <v>9</v>
      </c>
      <c r="J28" s="98" t="s">
        <v>71</v>
      </c>
      <c r="K28" s="98"/>
      <c r="L28" s="98" t="s">
        <v>72</v>
      </c>
      <c r="M28" s="99"/>
      <c r="N28" s="99"/>
    </row>
    <row r="29" spans="1:14">
      <c r="A29" s="290"/>
      <c r="B29" s="234"/>
      <c r="C29" s="221" t="s">
        <v>58</v>
      </c>
      <c r="D29" s="221" t="s">
        <v>59</v>
      </c>
      <c r="E29" s="93" t="s">
        <v>73</v>
      </c>
      <c r="F29" s="235"/>
      <c r="G29" s="278" t="s">
        <v>74</v>
      </c>
      <c r="H29" s="278"/>
      <c r="I29" s="45">
        <v>0.1</v>
      </c>
      <c r="J29" s="100">
        <f>MAX(-3,H20)</f>
        <v>-3</v>
      </c>
      <c r="K29" s="100">
        <v>0</v>
      </c>
      <c r="L29" s="70" t="s">
        <v>75</v>
      </c>
      <c r="M29" s="71" t="s">
        <v>76</v>
      </c>
      <c r="N29" s="71" t="s">
        <v>77</v>
      </c>
    </row>
    <row r="30" spans="1:14">
      <c r="A30" s="291"/>
      <c r="B30" s="234"/>
      <c r="C30" s="46">
        <v>5</v>
      </c>
      <c r="D30" s="46">
        <v>7</v>
      </c>
      <c r="E30" s="94">
        <f>(D30-C30)/E28</f>
        <v>0.4</v>
      </c>
      <c r="F30" s="235"/>
      <c r="G30" s="278" t="s">
        <v>78</v>
      </c>
      <c r="H30" s="278"/>
      <c r="I30" s="39">
        <f>NORMINV(I29,I27,I28)</f>
        <v>260.46603591009858</v>
      </c>
      <c r="J30" s="100">
        <f>J29</f>
        <v>-3</v>
      </c>
      <c r="K30" s="100">
        <f>_xlfn.NORM.S.DIST(J30,0)</f>
        <v>4.4318484119380075E-3</v>
      </c>
      <c r="L30" s="70">
        <v>-4</v>
      </c>
      <c r="M30" s="72">
        <f>_xlfn.NORM.S.DIST(L30,1)</f>
        <v>3.1671241833119857E-5</v>
      </c>
      <c r="N30" s="71">
        <f>_xlfn.NORM.S.DIST(L30,0)</f>
        <v>1.3383022576488537E-4</v>
      </c>
    </row>
    <row r="31" spans="1:14">
      <c r="B31" s="263" t="s">
        <v>7</v>
      </c>
      <c r="C31" s="264"/>
      <c r="D31" s="264"/>
      <c r="E31" s="265"/>
      <c r="G31" s="298" t="s">
        <v>79</v>
      </c>
      <c r="H31" s="299"/>
      <c r="I31" s="300"/>
      <c r="J31" s="100">
        <f>MIN(3,I20)</f>
        <v>-0.45602923264311773</v>
      </c>
      <c r="K31" s="100">
        <v>0</v>
      </c>
      <c r="L31" s="70">
        <f>L30+0.1</f>
        <v>-3.9</v>
      </c>
      <c r="M31" s="72">
        <f t="shared" ref="M31:M94" si="0">_xlfn.NORM.S.DIST(L31,1)</f>
        <v>4.8096344017602614E-5</v>
      </c>
      <c r="N31" s="71">
        <f t="shared" ref="N31:N94" si="1">_xlfn.NORM.S.DIST(L31,0)</f>
        <v>1.9865547139277272E-4</v>
      </c>
    </row>
    <row r="32" spans="1:14" ht="32.25" customHeight="1">
      <c r="B32" s="221" t="s">
        <v>3</v>
      </c>
      <c r="C32" s="221" t="s">
        <v>39</v>
      </c>
      <c r="D32" s="221" t="s">
        <v>80</v>
      </c>
      <c r="E32" s="221" t="s">
        <v>81</v>
      </c>
      <c r="G32" s="301" t="s">
        <v>82</v>
      </c>
      <c r="H32" s="302"/>
      <c r="I32" s="302"/>
      <c r="J32" s="100">
        <f>J31</f>
        <v>-0.45602923264311773</v>
      </c>
      <c r="K32" s="100">
        <f>_xlfn.NORM.S.DIST(J32,0)</f>
        <v>0.35954358774052014</v>
      </c>
      <c r="L32" s="70">
        <f t="shared" ref="L32:L95" si="2">L31+0.1</f>
        <v>-3.8</v>
      </c>
      <c r="M32" s="72">
        <f t="shared" si="0"/>
        <v>7.234804392511999E-5</v>
      </c>
      <c r="N32" s="71">
        <f t="shared" si="1"/>
        <v>2.9194692579146027E-4</v>
      </c>
    </row>
    <row r="33" spans="2:14">
      <c r="B33" s="237">
        <v>20</v>
      </c>
      <c r="C33" s="237">
        <v>0.01</v>
      </c>
      <c r="D33" s="221">
        <f>B33*C33</f>
        <v>0.2</v>
      </c>
      <c r="E33" s="216">
        <f>SQRT(D33*(1-C33))</f>
        <v>0.44497190922573981</v>
      </c>
      <c r="G33" s="301" t="s">
        <v>83</v>
      </c>
      <c r="H33" s="302"/>
      <c r="I33" s="302"/>
      <c r="J33" s="100">
        <f>J29</f>
        <v>-3</v>
      </c>
      <c r="K33" s="100">
        <f>MIN(K30,K32)</f>
        <v>4.4318484119380075E-3</v>
      </c>
      <c r="L33" s="70">
        <f t="shared" si="2"/>
        <v>-3.6999999999999997</v>
      </c>
      <c r="M33" s="72">
        <f t="shared" si="0"/>
        <v>1.0779973347738824E-4</v>
      </c>
      <c r="N33" s="71">
        <f t="shared" si="1"/>
        <v>4.2478027055075219E-4</v>
      </c>
    </row>
    <row r="34" spans="2:14">
      <c r="G34" s="303" t="s">
        <v>65</v>
      </c>
      <c r="H34" s="302"/>
      <c r="I34" s="302"/>
      <c r="J34" s="100">
        <f>J31</f>
        <v>-0.45602923264311773</v>
      </c>
      <c r="K34" s="100">
        <f>K33</f>
        <v>4.4318484119380075E-3</v>
      </c>
      <c r="L34" s="70">
        <f t="shared" si="2"/>
        <v>-3.5999999999999996</v>
      </c>
      <c r="M34" s="72">
        <f t="shared" si="0"/>
        <v>1.5910859015753396E-4</v>
      </c>
      <c r="N34" s="71">
        <f t="shared" si="1"/>
        <v>6.1190193011377298E-4</v>
      </c>
    </row>
    <row r="35" spans="2:14">
      <c r="C35" s="91" t="s">
        <v>71</v>
      </c>
      <c r="D35" s="216"/>
      <c r="G35" s="282" t="s">
        <v>37</v>
      </c>
      <c r="H35" s="282"/>
      <c r="I35" s="43">
        <v>100</v>
      </c>
      <c r="J35" s="98"/>
      <c r="K35" s="98"/>
      <c r="L35" s="70">
        <f t="shared" si="2"/>
        <v>-3.4999999999999996</v>
      </c>
      <c r="M35" s="72">
        <f t="shared" si="0"/>
        <v>2.3262907903552504E-4</v>
      </c>
      <c r="N35" s="71">
        <f t="shared" si="1"/>
        <v>8.7268269504576167E-4</v>
      </c>
    </row>
    <row r="36" spans="2:14">
      <c r="C36" s="101">
        <f>C$28</f>
        <v>3</v>
      </c>
      <c r="D36" s="101">
        <v>0</v>
      </c>
      <c r="G36" s="282" t="s">
        <v>42</v>
      </c>
      <c r="H36" s="282"/>
      <c r="I36" s="43">
        <v>5</v>
      </c>
      <c r="J36" s="98"/>
      <c r="K36" s="98"/>
      <c r="L36" s="70">
        <f t="shared" si="2"/>
        <v>-3.3999999999999995</v>
      </c>
      <c r="M36" s="72">
        <f t="shared" si="0"/>
        <v>3.3692926567688151E-4</v>
      </c>
      <c r="N36" s="71">
        <f t="shared" si="1"/>
        <v>1.232219168473021E-3</v>
      </c>
    </row>
    <row r="37" spans="2:14">
      <c r="C37" s="101">
        <v>2</v>
      </c>
      <c r="D37" s="102">
        <f>1/E28</f>
        <v>0.2</v>
      </c>
      <c r="G37" s="282" t="s">
        <v>84</v>
      </c>
      <c r="H37" s="282"/>
      <c r="I37" s="45">
        <v>0.05</v>
      </c>
      <c r="J37" s="98"/>
      <c r="K37" s="98"/>
      <c r="L37" s="70">
        <f t="shared" si="2"/>
        <v>-3.2999999999999994</v>
      </c>
      <c r="M37" s="72">
        <f t="shared" si="0"/>
        <v>4.8342414238377744E-4</v>
      </c>
      <c r="N37" s="71">
        <f t="shared" si="1"/>
        <v>1.7225689390536843E-3</v>
      </c>
    </row>
    <row r="38" spans="2:14">
      <c r="C38" s="101">
        <f>D28</f>
        <v>8</v>
      </c>
      <c r="D38" s="101">
        <f>D37</f>
        <v>0.2</v>
      </c>
      <c r="G38" s="282" t="s">
        <v>78</v>
      </c>
      <c r="H38" s="282"/>
      <c r="I38" s="39">
        <f>NORMINV(1-I37,I35,I36)</f>
        <v>108.22426813475735</v>
      </c>
      <c r="J38" s="98"/>
      <c r="K38" s="98"/>
      <c r="L38" s="70">
        <f t="shared" si="2"/>
        <v>-3.1999999999999993</v>
      </c>
      <c r="M38" s="72">
        <f t="shared" si="0"/>
        <v>6.8713793791584969E-4</v>
      </c>
      <c r="N38" s="71">
        <f t="shared" si="1"/>
        <v>2.3840882014648486E-3</v>
      </c>
    </row>
    <row r="39" spans="2:14" ht="15.75" thickBot="1">
      <c r="C39" s="103">
        <f>C38</f>
        <v>8</v>
      </c>
      <c r="D39" s="103">
        <f>D36</f>
        <v>0</v>
      </c>
      <c r="J39" s="98"/>
      <c r="K39" s="98"/>
      <c r="L39" s="70">
        <f t="shared" si="2"/>
        <v>-3.0999999999999992</v>
      </c>
      <c r="M39" s="72">
        <f t="shared" si="0"/>
        <v>9.6760321321835816E-4</v>
      </c>
      <c r="N39" s="71">
        <f t="shared" si="1"/>
        <v>3.2668190561999273E-3</v>
      </c>
    </row>
    <row r="40" spans="2:14">
      <c r="C40" s="104">
        <f>C41</f>
        <v>5</v>
      </c>
      <c r="D40" s="104">
        <v>0</v>
      </c>
      <c r="J40" s="98"/>
      <c r="K40" s="98"/>
      <c r="L40" s="70">
        <f t="shared" si="2"/>
        <v>-2.9999999999999991</v>
      </c>
      <c r="M40" s="72">
        <f t="shared" si="0"/>
        <v>1.3498980316300983E-3</v>
      </c>
      <c r="N40" s="71">
        <f t="shared" si="1"/>
        <v>4.4318484119380188E-3</v>
      </c>
    </row>
    <row r="41" spans="2:14">
      <c r="C41" s="101">
        <f>C30</f>
        <v>5</v>
      </c>
      <c r="D41" s="101">
        <f>D37</f>
        <v>0.2</v>
      </c>
      <c r="J41" s="98"/>
      <c r="K41" s="98"/>
      <c r="L41" s="70">
        <f t="shared" si="2"/>
        <v>-2.899999999999999</v>
      </c>
      <c r="M41" s="72">
        <f t="shared" si="0"/>
        <v>1.865813300384041E-3</v>
      </c>
      <c r="N41" s="71">
        <f t="shared" si="1"/>
        <v>5.9525324197758694E-3</v>
      </c>
    </row>
    <row r="42" spans="2:14">
      <c r="C42" s="101">
        <f>D30</f>
        <v>7</v>
      </c>
      <c r="D42" s="101">
        <f>D41</f>
        <v>0.2</v>
      </c>
      <c r="J42" s="98"/>
      <c r="K42" s="98"/>
      <c r="L42" s="70">
        <f t="shared" si="2"/>
        <v>-2.7999999999999989</v>
      </c>
      <c r="M42" s="72">
        <f t="shared" si="0"/>
        <v>2.555130330427939E-3</v>
      </c>
      <c r="N42" s="71">
        <f t="shared" si="1"/>
        <v>7.9154515829799894E-3</v>
      </c>
    </row>
    <row r="43" spans="2:14">
      <c r="C43" s="101">
        <f>C42</f>
        <v>7</v>
      </c>
      <c r="D43" s="101">
        <v>0</v>
      </c>
      <c r="J43" s="98"/>
      <c r="K43" s="98"/>
      <c r="L43" s="70">
        <f t="shared" si="2"/>
        <v>-2.6999999999999988</v>
      </c>
      <c r="M43" s="72">
        <f t="shared" si="0"/>
        <v>3.4669738030406777E-3</v>
      </c>
      <c r="N43" s="71">
        <f t="shared" si="1"/>
        <v>1.0420934814422628E-2</v>
      </c>
    </row>
    <row r="44" spans="2:14">
      <c r="J44" s="98"/>
      <c r="K44" s="98"/>
      <c r="L44" s="70">
        <f t="shared" si="2"/>
        <v>-2.5999999999999988</v>
      </c>
      <c r="M44" s="72">
        <f t="shared" si="0"/>
        <v>4.6611880237187649E-3</v>
      </c>
      <c r="N44" s="71">
        <f t="shared" si="1"/>
        <v>1.3582969233685661E-2</v>
      </c>
    </row>
    <row r="45" spans="2:14">
      <c r="J45" s="98"/>
      <c r="K45" s="98"/>
      <c r="L45" s="70">
        <f t="shared" si="2"/>
        <v>-2.4999999999999987</v>
      </c>
      <c r="M45" s="72">
        <f t="shared" si="0"/>
        <v>6.2096653257761565E-3</v>
      </c>
      <c r="N45" s="71">
        <f t="shared" si="1"/>
        <v>1.7528300493568599E-2</v>
      </c>
    </row>
    <row r="46" spans="2:14">
      <c r="J46" s="98"/>
      <c r="K46" s="98"/>
      <c r="L46" s="70">
        <f t="shared" si="2"/>
        <v>-2.3999999999999986</v>
      </c>
      <c r="M46" s="72">
        <f t="shared" si="0"/>
        <v>8.1975359245961572E-3</v>
      </c>
      <c r="N46" s="71">
        <f t="shared" si="1"/>
        <v>2.2394530294842969E-2</v>
      </c>
    </row>
    <row r="47" spans="2:14">
      <c r="J47" s="98"/>
      <c r="K47" s="98"/>
      <c r="L47" s="70">
        <f t="shared" si="2"/>
        <v>-2.2999999999999985</v>
      </c>
      <c r="M47" s="72">
        <f t="shared" si="0"/>
        <v>1.0724110021675844E-2</v>
      </c>
      <c r="N47" s="71">
        <f t="shared" si="1"/>
        <v>2.8327037741601276E-2</v>
      </c>
    </row>
    <row r="48" spans="2:14">
      <c r="J48" s="98"/>
      <c r="K48" s="98"/>
      <c r="L48" s="70">
        <f t="shared" si="2"/>
        <v>-2.1999999999999984</v>
      </c>
      <c r="M48" s="72">
        <f t="shared" si="0"/>
        <v>1.3903447513498663E-2</v>
      </c>
      <c r="N48" s="71">
        <f t="shared" si="1"/>
        <v>3.547459284623157E-2</v>
      </c>
    </row>
    <row r="49" spans="10:14">
      <c r="J49" s="98"/>
      <c r="K49" s="98"/>
      <c r="L49" s="70">
        <f t="shared" si="2"/>
        <v>-2.0999999999999983</v>
      </c>
      <c r="M49" s="72">
        <f t="shared" si="0"/>
        <v>1.7864420562816629E-2</v>
      </c>
      <c r="N49" s="71">
        <f t="shared" si="1"/>
        <v>4.3983595980427351E-2</v>
      </c>
    </row>
    <row r="50" spans="10:14">
      <c r="J50" s="98"/>
      <c r="K50" s="98"/>
      <c r="L50" s="70">
        <f t="shared" si="2"/>
        <v>-1.9999999999999982</v>
      </c>
      <c r="M50" s="72">
        <f t="shared" si="0"/>
        <v>2.2750131948179302E-2</v>
      </c>
      <c r="N50" s="71">
        <f t="shared" si="1"/>
        <v>5.399096651318825E-2</v>
      </c>
    </row>
    <row r="51" spans="10:14">
      <c r="J51" s="98"/>
      <c r="K51" s="98"/>
      <c r="L51" s="70">
        <f t="shared" si="2"/>
        <v>-1.8999999999999981</v>
      </c>
      <c r="M51" s="72">
        <f t="shared" si="0"/>
        <v>2.8716559816001928E-2</v>
      </c>
      <c r="N51" s="71">
        <f t="shared" si="1"/>
        <v>6.5615814774676831E-2</v>
      </c>
    </row>
    <row r="52" spans="10:14">
      <c r="J52" s="98"/>
      <c r="K52" s="98"/>
      <c r="L52" s="70">
        <f t="shared" si="2"/>
        <v>-1.799999999999998</v>
      </c>
      <c r="M52" s="72">
        <f t="shared" si="0"/>
        <v>3.5930319112925969E-2</v>
      </c>
      <c r="N52" s="71">
        <f t="shared" si="1"/>
        <v>7.8950158300894427E-2</v>
      </c>
    </row>
    <row r="53" spans="10:14">
      <c r="J53" s="98"/>
      <c r="K53" s="98"/>
      <c r="L53" s="70">
        <f t="shared" si="2"/>
        <v>-1.699999999999998</v>
      </c>
      <c r="M53" s="72">
        <f t="shared" si="0"/>
        <v>4.4565462758543194E-2</v>
      </c>
      <c r="N53" s="71">
        <f t="shared" si="1"/>
        <v>9.4049077376887252E-2</v>
      </c>
    </row>
    <row r="54" spans="10:14">
      <c r="J54" s="98"/>
      <c r="K54" s="98"/>
      <c r="L54" s="70">
        <f t="shared" si="2"/>
        <v>-1.5999999999999979</v>
      </c>
      <c r="M54" s="72">
        <f t="shared" si="0"/>
        <v>5.4799291699558203E-2</v>
      </c>
      <c r="N54" s="71">
        <f t="shared" si="1"/>
        <v>0.11092083467945592</v>
      </c>
    </row>
    <row r="55" spans="10:14">
      <c r="J55" s="98"/>
      <c r="K55" s="98"/>
      <c r="L55" s="70">
        <f t="shared" si="2"/>
        <v>-1.4999999999999978</v>
      </c>
      <c r="M55" s="72">
        <f t="shared" si="0"/>
        <v>6.6807201268858321E-2</v>
      </c>
      <c r="N55" s="71">
        <f t="shared" si="1"/>
        <v>0.12951759566589216</v>
      </c>
    </row>
    <row r="56" spans="10:14">
      <c r="J56" s="98"/>
      <c r="K56" s="98"/>
      <c r="L56" s="70">
        <f t="shared" si="2"/>
        <v>-1.3999999999999977</v>
      </c>
      <c r="M56" s="72">
        <f t="shared" si="0"/>
        <v>8.0756659233771386E-2</v>
      </c>
      <c r="N56" s="71">
        <f t="shared" si="1"/>
        <v>0.14972746563574535</v>
      </c>
    </row>
    <row r="57" spans="10:14">
      <c r="J57" s="98"/>
      <c r="K57" s="98"/>
      <c r="L57" s="70">
        <f t="shared" si="2"/>
        <v>-1.2999999999999976</v>
      </c>
      <c r="M57" s="72">
        <f t="shared" si="0"/>
        <v>9.6800484585610733E-2</v>
      </c>
      <c r="N57" s="71">
        <f t="shared" si="1"/>
        <v>0.17136859204780791</v>
      </c>
    </row>
    <row r="58" spans="10:14">
      <c r="J58" s="98"/>
      <c r="K58" s="98"/>
      <c r="L58" s="70">
        <f t="shared" si="2"/>
        <v>-1.1999999999999975</v>
      </c>
      <c r="M58" s="72">
        <f t="shared" si="0"/>
        <v>0.11506967022170875</v>
      </c>
      <c r="N58" s="71">
        <f t="shared" si="1"/>
        <v>0.19418605498321354</v>
      </c>
    </row>
    <row r="59" spans="10:14">
      <c r="J59" s="98"/>
      <c r="K59" s="98"/>
      <c r="L59" s="70">
        <f t="shared" si="2"/>
        <v>-1.0999999999999974</v>
      </c>
      <c r="M59" s="72">
        <f t="shared" si="0"/>
        <v>0.1356660609463832</v>
      </c>
      <c r="N59" s="71">
        <f t="shared" si="1"/>
        <v>0.21785217703255116</v>
      </c>
    </row>
    <row r="60" spans="10:14">
      <c r="J60" s="98"/>
      <c r="K60" s="98"/>
      <c r="L60" s="70">
        <f t="shared" si="2"/>
        <v>-0.99999999999999745</v>
      </c>
      <c r="M60" s="72">
        <f t="shared" si="0"/>
        <v>0.1586552539314576</v>
      </c>
      <c r="N60" s="71">
        <f t="shared" si="1"/>
        <v>0.24197072451914398</v>
      </c>
    </row>
    <row r="61" spans="10:14">
      <c r="J61" s="98"/>
      <c r="K61" s="98"/>
      <c r="L61" s="70">
        <f t="shared" si="2"/>
        <v>-0.89999999999999747</v>
      </c>
      <c r="M61" s="72">
        <f t="shared" si="0"/>
        <v>0.18406012534676011</v>
      </c>
      <c r="N61" s="71">
        <f t="shared" si="1"/>
        <v>0.26608524989875543</v>
      </c>
    </row>
    <row r="62" spans="10:14">
      <c r="J62" s="98"/>
      <c r="K62" s="98"/>
      <c r="L62" s="70">
        <f t="shared" si="2"/>
        <v>-0.79999999999999749</v>
      </c>
      <c r="M62" s="72">
        <f t="shared" si="0"/>
        <v>0.21185539858339739</v>
      </c>
      <c r="N62" s="71">
        <f t="shared" si="1"/>
        <v>0.28969155276148334</v>
      </c>
    </row>
    <row r="63" spans="10:14">
      <c r="J63" s="98"/>
      <c r="K63" s="98"/>
      <c r="L63" s="70">
        <f t="shared" si="2"/>
        <v>-0.69999999999999751</v>
      </c>
      <c r="M63" s="72">
        <f t="shared" si="0"/>
        <v>0.24196365222307376</v>
      </c>
      <c r="N63" s="71">
        <f t="shared" si="1"/>
        <v>0.31225393336676183</v>
      </c>
    </row>
    <row r="64" spans="10:14">
      <c r="J64" s="98"/>
      <c r="K64" s="98"/>
      <c r="L64" s="70">
        <f t="shared" si="2"/>
        <v>-0.59999999999999754</v>
      </c>
      <c r="M64" s="72">
        <f t="shared" si="0"/>
        <v>0.27425311775007433</v>
      </c>
      <c r="N64" s="71">
        <f t="shared" si="1"/>
        <v>0.33322460289180011</v>
      </c>
    </row>
    <row r="65" spans="10:14">
      <c r="J65" s="98"/>
      <c r="K65" s="98"/>
      <c r="L65" s="70">
        <f t="shared" si="2"/>
        <v>-0.49999999999999756</v>
      </c>
      <c r="M65" s="72">
        <f t="shared" si="0"/>
        <v>0.30853753872598771</v>
      </c>
      <c r="N65" s="71">
        <f t="shared" si="1"/>
        <v>0.35206532676429991</v>
      </c>
    </row>
    <row r="66" spans="10:14">
      <c r="J66" s="98"/>
      <c r="K66" s="98"/>
      <c r="L66" s="70">
        <f t="shared" si="2"/>
        <v>-0.39999999999999758</v>
      </c>
      <c r="M66" s="72">
        <f t="shared" si="0"/>
        <v>0.34457825838967671</v>
      </c>
      <c r="N66" s="71">
        <f t="shared" si="1"/>
        <v>0.36827014030332367</v>
      </c>
    </row>
    <row r="67" spans="10:14">
      <c r="J67" s="98"/>
      <c r="K67" s="98"/>
      <c r="L67" s="70">
        <f t="shared" si="2"/>
        <v>-0.2999999999999976</v>
      </c>
      <c r="M67" s="72">
        <f t="shared" si="0"/>
        <v>0.38208857781104827</v>
      </c>
      <c r="N67" s="71">
        <f t="shared" si="1"/>
        <v>0.38138781546052442</v>
      </c>
    </row>
    <row r="68" spans="10:14">
      <c r="J68" s="98"/>
      <c r="K68" s="98"/>
      <c r="L68" s="70">
        <f t="shared" si="2"/>
        <v>-0.1999999999999976</v>
      </c>
      <c r="M68" s="72">
        <f t="shared" si="0"/>
        <v>0.4207402905608979</v>
      </c>
      <c r="N68" s="71">
        <f t="shared" si="1"/>
        <v>0.3910426939754561</v>
      </c>
    </row>
    <row r="69" spans="10:14">
      <c r="J69" s="98"/>
      <c r="K69" s="98"/>
      <c r="L69" s="70">
        <f t="shared" si="2"/>
        <v>-9.9999999999997591E-2</v>
      </c>
      <c r="M69" s="72">
        <f t="shared" si="0"/>
        <v>0.46017216272297196</v>
      </c>
      <c r="N69" s="71">
        <f t="shared" si="1"/>
        <v>0.39695254747701186</v>
      </c>
    </row>
    <row r="70" spans="10:14">
      <c r="J70" s="98"/>
      <c r="K70" s="98"/>
      <c r="L70" s="70">
        <f t="shared" si="2"/>
        <v>2.4147350785597155E-15</v>
      </c>
      <c r="M70" s="72">
        <f t="shared" si="0"/>
        <v>0.50000000000000089</v>
      </c>
      <c r="N70" s="71">
        <f t="shared" si="1"/>
        <v>0.3989422804014327</v>
      </c>
    </row>
    <row r="71" spans="10:14">
      <c r="J71" s="98"/>
      <c r="K71" s="98"/>
      <c r="L71" s="70">
        <f t="shared" si="2"/>
        <v>0.10000000000000242</v>
      </c>
      <c r="M71" s="72">
        <f t="shared" si="0"/>
        <v>0.53982783727702999</v>
      </c>
      <c r="N71" s="71">
        <f t="shared" si="1"/>
        <v>0.3969525474770117</v>
      </c>
    </row>
    <row r="72" spans="10:14">
      <c r="J72" s="98"/>
      <c r="K72" s="98"/>
      <c r="L72" s="70">
        <f t="shared" si="2"/>
        <v>0.20000000000000243</v>
      </c>
      <c r="M72" s="72">
        <f t="shared" si="0"/>
        <v>0.57925970943910399</v>
      </c>
      <c r="N72" s="71">
        <f t="shared" si="1"/>
        <v>0.39104269397545571</v>
      </c>
    </row>
    <row r="73" spans="10:14">
      <c r="J73" s="98"/>
      <c r="K73" s="98"/>
      <c r="L73" s="70">
        <f t="shared" si="2"/>
        <v>0.30000000000000243</v>
      </c>
      <c r="M73" s="72">
        <f t="shared" si="0"/>
        <v>0.61791142218895356</v>
      </c>
      <c r="N73" s="71">
        <f t="shared" si="1"/>
        <v>0.3813878154605238</v>
      </c>
    </row>
    <row r="74" spans="10:14">
      <c r="J74" s="98"/>
      <c r="K74" s="98"/>
      <c r="L74" s="70">
        <f t="shared" si="2"/>
        <v>0.40000000000000246</v>
      </c>
      <c r="M74" s="72">
        <f t="shared" si="0"/>
        <v>0.65542174161032518</v>
      </c>
      <c r="N74" s="71">
        <f t="shared" si="1"/>
        <v>0.36827014030332295</v>
      </c>
    </row>
    <row r="75" spans="10:14">
      <c r="J75" s="98"/>
      <c r="K75" s="98"/>
      <c r="L75" s="70">
        <f t="shared" si="2"/>
        <v>0.50000000000000244</v>
      </c>
      <c r="M75" s="72">
        <f t="shared" si="0"/>
        <v>0.69146246127401401</v>
      </c>
      <c r="N75" s="71">
        <f t="shared" si="1"/>
        <v>0.35206532676429908</v>
      </c>
    </row>
    <row r="76" spans="10:14">
      <c r="J76" s="98"/>
      <c r="K76" s="98"/>
      <c r="L76" s="70">
        <f t="shared" si="2"/>
        <v>0.60000000000000242</v>
      </c>
      <c r="M76" s="72">
        <f t="shared" si="0"/>
        <v>0.72574688224992723</v>
      </c>
      <c r="N76" s="71">
        <f t="shared" si="1"/>
        <v>0.33322460289179917</v>
      </c>
    </row>
    <row r="77" spans="10:14">
      <c r="J77" s="98"/>
      <c r="K77" s="98"/>
      <c r="L77" s="70">
        <f t="shared" si="2"/>
        <v>0.7000000000000024</v>
      </c>
      <c r="M77" s="72">
        <f t="shared" si="0"/>
        <v>0.75803634777692785</v>
      </c>
      <c r="N77" s="71">
        <f t="shared" si="1"/>
        <v>0.31225393336676072</v>
      </c>
    </row>
    <row r="78" spans="10:14">
      <c r="J78" s="98"/>
      <c r="K78" s="98"/>
      <c r="L78" s="70">
        <f t="shared" si="2"/>
        <v>0.80000000000000238</v>
      </c>
      <c r="M78" s="72">
        <f t="shared" si="0"/>
        <v>0.78814460141660403</v>
      </c>
      <c r="N78" s="71">
        <f t="shared" si="1"/>
        <v>0.28969155276148217</v>
      </c>
    </row>
    <row r="79" spans="10:14">
      <c r="J79" s="98"/>
      <c r="K79" s="98"/>
      <c r="L79" s="70">
        <f t="shared" si="2"/>
        <v>0.90000000000000235</v>
      </c>
      <c r="M79" s="72">
        <f t="shared" si="0"/>
        <v>0.81593987465324114</v>
      </c>
      <c r="N79" s="71">
        <f t="shared" si="1"/>
        <v>0.26608524989875426</v>
      </c>
    </row>
    <row r="80" spans="10:14">
      <c r="J80" s="98"/>
      <c r="K80" s="98"/>
      <c r="L80" s="70">
        <f t="shared" si="2"/>
        <v>1.0000000000000024</v>
      </c>
      <c r="M80" s="72">
        <f t="shared" si="0"/>
        <v>0.84134474606854359</v>
      </c>
      <c r="N80" s="71">
        <f t="shared" si="1"/>
        <v>0.24197072451914278</v>
      </c>
    </row>
    <row r="81" spans="10:14">
      <c r="J81" s="98"/>
      <c r="K81" s="98"/>
      <c r="L81" s="70">
        <f t="shared" si="2"/>
        <v>1.1000000000000025</v>
      </c>
      <c r="M81" s="72">
        <f t="shared" si="0"/>
        <v>0.86433393905361788</v>
      </c>
      <c r="N81" s="71">
        <f t="shared" si="1"/>
        <v>0.21785217703254997</v>
      </c>
    </row>
    <row r="82" spans="10:14">
      <c r="J82" s="98"/>
      <c r="K82" s="98"/>
      <c r="L82" s="70">
        <f t="shared" si="2"/>
        <v>1.2000000000000026</v>
      </c>
      <c r="M82" s="72">
        <f t="shared" si="0"/>
        <v>0.88493032977829222</v>
      </c>
      <c r="N82" s="71">
        <f t="shared" si="1"/>
        <v>0.19418605498321231</v>
      </c>
    </row>
    <row r="83" spans="10:14">
      <c r="J83" s="98"/>
      <c r="K83" s="98"/>
      <c r="L83" s="70">
        <f t="shared" si="2"/>
        <v>1.3000000000000027</v>
      </c>
      <c r="M83" s="72">
        <f t="shared" si="0"/>
        <v>0.90319951541439014</v>
      </c>
      <c r="N83" s="71">
        <f t="shared" si="1"/>
        <v>0.17136859204780677</v>
      </c>
    </row>
    <row r="84" spans="10:14">
      <c r="J84" s="98"/>
      <c r="K84" s="98"/>
      <c r="L84" s="70">
        <f t="shared" si="2"/>
        <v>1.4000000000000028</v>
      </c>
      <c r="M84" s="72">
        <f t="shared" si="0"/>
        <v>0.91924334076622938</v>
      </c>
      <c r="N84" s="71">
        <f t="shared" si="1"/>
        <v>0.14972746563574427</v>
      </c>
    </row>
    <row r="85" spans="10:14">
      <c r="J85" s="98"/>
      <c r="K85" s="98"/>
      <c r="L85" s="70">
        <f t="shared" si="2"/>
        <v>1.5000000000000029</v>
      </c>
      <c r="M85" s="72">
        <f t="shared" si="0"/>
        <v>0.93319279873114236</v>
      </c>
      <c r="N85" s="71">
        <f t="shared" si="1"/>
        <v>0.12951759566589116</v>
      </c>
    </row>
    <row r="86" spans="10:14">
      <c r="J86" s="98"/>
      <c r="K86" s="98"/>
      <c r="L86" s="70">
        <f t="shared" si="2"/>
        <v>1.600000000000003</v>
      </c>
      <c r="M86" s="72">
        <f t="shared" si="0"/>
        <v>0.94520070830044234</v>
      </c>
      <c r="N86" s="71">
        <f t="shared" si="1"/>
        <v>0.11092083467945503</v>
      </c>
    </row>
    <row r="87" spans="10:14">
      <c r="J87" s="98"/>
      <c r="K87" s="98"/>
      <c r="L87" s="70">
        <f t="shared" si="2"/>
        <v>1.7000000000000031</v>
      </c>
      <c r="M87" s="72">
        <f t="shared" si="0"/>
        <v>0.95543453724145722</v>
      </c>
      <c r="N87" s="71">
        <f t="shared" si="1"/>
        <v>9.4049077376886434E-2</v>
      </c>
    </row>
    <row r="88" spans="10:14">
      <c r="J88" s="98"/>
      <c r="K88" s="98"/>
      <c r="L88" s="70">
        <f t="shared" si="2"/>
        <v>1.8000000000000032</v>
      </c>
      <c r="M88" s="72">
        <f t="shared" si="0"/>
        <v>0.96406968088707445</v>
      </c>
      <c r="N88" s="71">
        <f t="shared" si="1"/>
        <v>7.8950158300893719E-2</v>
      </c>
    </row>
    <row r="89" spans="10:14">
      <c r="J89" s="98"/>
      <c r="K89" s="98"/>
      <c r="L89" s="70">
        <f t="shared" si="2"/>
        <v>1.9000000000000032</v>
      </c>
      <c r="M89" s="72">
        <f t="shared" si="0"/>
        <v>0.97128344018399848</v>
      </c>
      <c r="N89" s="71">
        <f t="shared" si="1"/>
        <v>6.5615814774676193E-2</v>
      </c>
    </row>
    <row r="90" spans="10:14">
      <c r="J90" s="98"/>
      <c r="K90" s="98"/>
      <c r="L90" s="70">
        <f t="shared" si="2"/>
        <v>2.0000000000000031</v>
      </c>
      <c r="M90" s="72">
        <f t="shared" si="0"/>
        <v>0.97724986805182101</v>
      </c>
      <c r="N90" s="71">
        <f t="shared" si="1"/>
        <v>5.3990966513187716E-2</v>
      </c>
    </row>
    <row r="91" spans="10:14">
      <c r="J91" s="98"/>
      <c r="K91" s="98"/>
      <c r="L91" s="70">
        <f t="shared" si="2"/>
        <v>2.1000000000000032</v>
      </c>
      <c r="M91" s="72">
        <f t="shared" si="0"/>
        <v>0.98213557943718355</v>
      </c>
      <c r="N91" s="71">
        <f t="shared" si="1"/>
        <v>4.39835959804269E-2</v>
      </c>
    </row>
    <row r="92" spans="10:14">
      <c r="J92" s="98"/>
      <c r="K92" s="98"/>
      <c r="L92" s="70">
        <f t="shared" si="2"/>
        <v>2.2000000000000033</v>
      </c>
      <c r="M92" s="72">
        <f t="shared" si="0"/>
        <v>0.98609655248650152</v>
      </c>
      <c r="N92" s="71">
        <f t="shared" si="1"/>
        <v>3.5474592846231189E-2</v>
      </c>
    </row>
    <row r="93" spans="10:14">
      <c r="J93" s="98"/>
      <c r="K93" s="98"/>
      <c r="L93" s="70">
        <f t="shared" si="2"/>
        <v>2.3000000000000034</v>
      </c>
      <c r="M93" s="72">
        <f t="shared" si="0"/>
        <v>0.98927588997832427</v>
      </c>
      <c r="N93" s="71">
        <f t="shared" si="1"/>
        <v>2.8327037741600961E-2</v>
      </c>
    </row>
    <row r="94" spans="10:14">
      <c r="J94" s="98"/>
      <c r="K94" s="98"/>
      <c r="L94" s="70">
        <f t="shared" si="2"/>
        <v>2.4000000000000035</v>
      </c>
      <c r="M94" s="72">
        <f t="shared" si="0"/>
        <v>0.99180246407540396</v>
      </c>
      <c r="N94" s="71">
        <f t="shared" si="1"/>
        <v>2.2394530294842712E-2</v>
      </c>
    </row>
    <row r="95" spans="10:14">
      <c r="J95" s="98"/>
      <c r="K95" s="98"/>
      <c r="L95" s="70">
        <f t="shared" si="2"/>
        <v>2.5000000000000036</v>
      </c>
      <c r="M95" s="72">
        <f t="shared" ref="M95:M110" si="3">_xlfn.NORM.S.DIST(L95,1)</f>
        <v>0.99379033467422395</v>
      </c>
      <c r="N95" s="71">
        <f t="shared" ref="N95:N110" si="4">_xlfn.NORM.S.DIST(L95,0)</f>
        <v>1.7528300493568381E-2</v>
      </c>
    </row>
    <row r="96" spans="10:14">
      <c r="J96" s="98"/>
      <c r="K96" s="98"/>
      <c r="L96" s="70">
        <f t="shared" ref="L96:L110" si="5">L95+0.1</f>
        <v>2.6000000000000036</v>
      </c>
      <c r="M96" s="72">
        <f t="shared" si="3"/>
        <v>0.99533881197628127</v>
      </c>
      <c r="N96" s="71">
        <f t="shared" si="4"/>
        <v>1.3582969233685486E-2</v>
      </c>
    </row>
    <row r="97" spans="10:14">
      <c r="J97" s="98"/>
      <c r="K97" s="98"/>
      <c r="L97" s="70">
        <f t="shared" si="5"/>
        <v>2.7000000000000037</v>
      </c>
      <c r="M97" s="72">
        <f t="shared" si="3"/>
        <v>0.99653302619695938</v>
      </c>
      <c r="N97" s="71">
        <f t="shared" si="4"/>
        <v>1.0420934814422488E-2</v>
      </c>
    </row>
    <row r="98" spans="10:14">
      <c r="J98" s="98"/>
      <c r="K98" s="98"/>
      <c r="L98" s="70">
        <f t="shared" si="5"/>
        <v>2.8000000000000038</v>
      </c>
      <c r="M98" s="72">
        <f t="shared" si="3"/>
        <v>0.99744486966957213</v>
      </c>
      <c r="N98" s="71">
        <f t="shared" si="4"/>
        <v>7.9154515829798801E-3</v>
      </c>
    </row>
    <row r="99" spans="10:14">
      <c r="J99" s="98"/>
      <c r="K99" s="98"/>
      <c r="L99" s="70">
        <f t="shared" si="5"/>
        <v>2.9000000000000039</v>
      </c>
      <c r="M99" s="72">
        <f t="shared" si="3"/>
        <v>0.99813418669961596</v>
      </c>
      <c r="N99" s="71">
        <f t="shared" si="4"/>
        <v>5.9525324197757853E-3</v>
      </c>
    </row>
    <row r="100" spans="10:14">
      <c r="J100" s="98"/>
      <c r="K100" s="98"/>
      <c r="L100" s="70">
        <f t="shared" si="5"/>
        <v>3.000000000000004</v>
      </c>
      <c r="M100" s="72">
        <f t="shared" si="3"/>
        <v>0.9986501019683699</v>
      </c>
      <c r="N100" s="71">
        <f t="shared" si="4"/>
        <v>4.4318484119379529E-3</v>
      </c>
    </row>
    <row r="101" spans="10:14">
      <c r="J101" s="98"/>
      <c r="K101" s="98"/>
      <c r="L101" s="70">
        <f t="shared" si="5"/>
        <v>3.1000000000000041</v>
      </c>
      <c r="M101" s="72">
        <f t="shared" si="3"/>
        <v>0.99903239678678168</v>
      </c>
      <c r="N101" s="71">
        <f t="shared" si="4"/>
        <v>3.2668190561998783E-3</v>
      </c>
    </row>
    <row r="102" spans="10:14">
      <c r="J102" s="98"/>
      <c r="K102" s="98"/>
      <c r="L102" s="70">
        <f t="shared" si="5"/>
        <v>3.2000000000000042</v>
      </c>
      <c r="M102" s="72">
        <f t="shared" si="3"/>
        <v>0.99931286206208414</v>
      </c>
      <c r="N102" s="71">
        <f t="shared" si="4"/>
        <v>2.3840882014648105E-3</v>
      </c>
    </row>
    <row r="103" spans="10:14">
      <c r="J103" s="98"/>
      <c r="K103" s="98"/>
      <c r="L103" s="70">
        <f t="shared" si="5"/>
        <v>3.3000000000000043</v>
      </c>
      <c r="M103" s="72">
        <f t="shared" si="3"/>
        <v>0.99951657585761622</v>
      </c>
      <c r="N103" s="71">
        <f t="shared" si="4"/>
        <v>1.7225689390536552E-3</v>
      </c>
    </row>
    <row r="104" spans="10:14">
      <c r="J104" s="98"/>
      <c r="K104" s="98"/>
      <c r="L104" s="70">
        <f t="shared" si="5"/>
        <v>3.4000000000000044</v>
      </c>
      <c r="M104" s="72">
        <f t="shared" si="3"/>
        <v>0.99966307073432314</v>
      </c>
      <c r="N104" s="71">
        <f t="shared" si="4"/>
        <v>1.2322191684730013E-3</v>
      </c>
    </row>
    <row r="105" spans="10:14">
      <c r="J105" s="98"/>
      <c r="K105" s="98"/>
      <c r="L105" s="70">
        <f t="shared" si="5"/>
        <v>3.5000000000000044</v>
      </c>
      <c r="M105" s="72">
        <f t="shared" si="3"/>
        <v>0.99976737092096446</v>
      </c>
      <c r="N105" s="71">
        <f t="shared" si="4"/>
        <v>8.7268269504574606E-4</v>
      </c>
    </row>
    <row r="106" spans="10:14">
      <c r="J106" s="98"/>
      <c r="K106" s="98"/>
      <c r="L106" s="70">
        <f t="shared" si="5"/>
        <v>3.6000000000000045</v>
      </c>
      <c r="M106" s="72">
        <f t="shared" si="3"/>
        <v>0.99984089140984245</v>
      </c>
      <c r="N106" s="71">
        <f t="shared" si="4"/>
        <v>6.1190193011376214E-4</v>
      </c>
    </row>
    <row r="107" spans="10:14">
      <c r="J107" s="98"/>
      <c r="K107" s="98"/>
      <c r="L107" s="70">
        <f t="shared" si="5"/>
        <v>3.7000000000000046</v>
      </c>
      <c r="M107" s="72">
        <f t="shared" si="3"/>
        <v>0.99989220026652259</v>
      </c>
      <c r="N107" s="71">
        <f t="shared" si="4"/>
        <v>4.2478027055074428E-4</v>
      </c>
    </row>
    <row r="108" spans="10:14">
      <c r="J108" s="98"/>
      <c r="K108" s="98"/>
      <c r="L108" s="70">
        <f t="shared" si="5"/>
        <v>3.8000000000000047</v>
      </c>
      <c r="M108" s="72">
        <f t="shared" si="3"/>
        <v>0.99992765195607491</v>
      </c>
      <c r="N108" s="71">
        <f t="shared" si="4"/>
        <v>2.9194692579145507E-4</v>
      </c>
    </row>
    <row r="109" spans="10:14">
      <c r="J109" s="98"/>
      <c r="K109" s="98"/>
      <c r="L109" s="70">
        <f t="shared" si="5"/>
        <v>3.9000000000000048</v>
      </c>
      <c r="M109" s="72">
        <f t="shared" si="3"/>
        <v>0.99995190365598241</v>
      </c>
      <c r="N109" s="71">
        <f t="shared" si="4"/>
        <v>1.9865547139276881E-4</v>
      </c>
    </row>
    <row r="110" spans="10:14">
      <c r="J110" s="98"/>
      <c r="K110" s="98"/>
      <c r="L110" s="70">
        <f t="shared" si="5"/>
        <v>4.0000000000000044</v>
      </c>
      <c r="M110" s="72">
        <f t="shared" si="3"/>
        <v>0.99996832875816688</v>
      </c>
      <c r="N110" s="71">
        <f t="shared" si="4"/>
        <v>1.3383022576488298E-4</v>
      </c>
    </row>
  </sheetData>
  <sheetProtection sheet="1" objects="1" scenarios="1" selectLockedCells="1"/>
  <mergeCells count="35">
    <mergeCell ref="A28:A30"/>
    <mergeCell ref="A24:A27"/>
    <mergeCell ref="B25:F25"/>
    <mergeCell ref="B26:F26"/>
    <mergeCell ref="G38:H38"/>
    <mergeCell ref="G31:I31"/>
    <mergeCell ref="G32:I32"/>
    <mergeCell ref="G33:I33"/>
    <mergeCell ref="G34:I34"/>
    <mergeCell ref="G35:H35"/>
    <mergeCell ref="G36:H36"/>
    <mergeCell ref="G28:H28"/>
    <mergeCell ref="G29:H29"/>
    <mergeCell ref="G25:I25"/>
    <mergeCell ref="G22:I22"/>
    <mergeCell ref="G37:H37"/>
    <mergeCell ref="G30:H30"/>
    <mergeCell ref="G26:I26"/>
    <mergeCell ref="G23:I24"/>
    <mergeCell ref="G14:I14"/>
    <mergeCell ref="B31:E31"/>
    <mergeCell ref="A1:A2"/>
    <mergeCell ref="A3:A7"/>
    <mergeCell ref="B15:E15"/>
    <mergeCell ref="B5:D5"/>
    <mergeCell ref="C1:D1"/>
    <mergeCell ref="B9:D9"/>
    <mergeCell ref="B14:F14"/>
    <mergeCell ref="B22:E22"/>
    <mergeCell ref="B19:E19"/>
    <mergeCell ref="G15:I15"/>
    <mergeCell ref="B16:E16"/>
    <mergeCell ref="G16:H16"/>
    <mergeCell ref="G17:H17"/>
    <mergeCell ref="G27:H27"/>
  </mergeCells>
  <hyperlinks>
    <hyperlink ref="G4" r:id="rId1" xr:uid="{00000000-0004-0000-0000-000000000000}"/>
    <hyperlink ref="G6" r:id="rId2" xr:uid="{00000000-0004-0000-0000-000001000000}"/>
    <hyperlink ref="G3" r:id="rId3" xr:uid="{00000000-0004-0000-0000-000002000000}"/>
    <hyperlink ref="G7" r:id="rId4" xr:uid="{00000000-0004-0000-0000-000003000000}"/>
    <hyperlink ref="G8" r:id="rId5" xr:uid="{00000000-0004-0000-0000-000004000000}"/>
    <hyperlink ref="G5" r:id="rId6" xr:uid="{00000000-0004-0000-0000-000005000000}"/>
    <hyperlink ref="G10" r:id="rId7" xr:uid="{00000000-0004-0000-0000-000006000000}"/>
    <hyperlink ref="G12" r:id="rId8" xr:uid="{00000000-0004-0000-0000-000007000000}"/>
    <hyperlink ref="G11" r:id="rId9" xr:uid="{00000000-0004-0000-0000-000008000000}"/>
  </hyperlinks>
  <pageMargins left="0.7" right="0.7" top="0.75" bottom="0.75" header="0.3" footer="0.3"/>
  <pageSetup orientation="portrait" r:id="rId10"/>
  <ignoredErrors>
    <ignoredError sqref="J31" formula="1"/>
  </ignoredErrors>
  <drawing r:id="rId11"/>
  <legacyDrawing r:id="rId1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47"/>
  <sheetViews>
    <sheetView zoomScaleNormal="100" workbookViewId="0">
      <selection activeCell="E9" sqref="E9"/>
    </sheetView>
  </sheetViews>
  <sheetFormatPr defaultRowHeight="15"/>
  <cols>
    <col min="1" max="1" width="17.7109375" style="112" customWidth="1"/>
    <col min="2" max="2" width="1.5703125" style="115" customWidth="1"/>
    <col min="3" max="3" width="20.42578125" style="186" bestFit="1" customWidth="1"/>
    <col min="4" max="8" width="12.7109375" style="186" customWidth="1"/>
    <col min="9" max="9" width="22.5703125" style="186" bestFit="1" customWidth="1"/>
    <col min="10" max="10" width="24.28515625" style="187" bestFit="1" customWidth="1"/>
    <col min="11" max="260" width="9.140625" style="187"/>
    <col min="261" max="261" width="13.140625" style="187" customWidth="1"/>
    <col min="262" max="262" width="8.5703125" style="187" bestFit="1" customWidth="1"/>
    <col min="263" max="263" width="9" style="187" bestFit="1" customWidth="1"/>
    <col min="264" max="264" width="9.7109375" style="187" bestFit="1" customWidth="1"/>
    <col min="265" max="265" width="8.28515625" style="187" bestFit="1" customWidth="1"/>
    <col min="266" max="266" width="24.28515625" style="187" bestFit="1" customWidth="1"/>
    <col min="267" max="516" width="9.140625" style="187"/>
    <col min="517" max="517" width="13.140625" style="187" customWidth="1"/>
    <col min="518" max="518" width="8.5703125" style="187" bestFit="1" customWidth="1"/>
    <col min="519" max="519" width="9" style="187" bestFit="1" customWidth="1"/>
    <col min="520" max="520" width="9.7109375" style="187" bestFit="1" customWidth="1"/>
    <col min="521" max="521" width="8.28515625" style="187" bestFit="1" customWidth="1"/>
    <col min="522" max="522" width="24.28515625" style="187" bestFit="1" customWidth="1"/>
    <col min="523" max="772" width="9.140625" style="187"/>
    <col min="773" max="773" width="13.140625" style="187" customWidth="1"/>
    <col min="774" max="774" width="8.5703125" style="187" bestFit="1" customWidth="1"/>
    <col min="775" max="775" width="9" style="187" bestFit="1" customWidth="1"/>
    <col min="776" max="776" width="9.7109375" style="187" bestFit="1" customWidth="1"/>
    <col min="777" max="777" width="8.28515625" style="187" bestFit="1" customWidth="1"/>
    <col min="778" max="778" width="24.28515625" style="187" bestFit="1" customWidth="1"/>
    <col min="779" max="1028" width="9.140625" style="187"/>
    <col min="1029" max="1029" width="13.140625" style="187" customWidth="1"/>
    <col min="1030" max="1030" width="8.5703125" style="187" bestFit="1" customWidth="1"/>
    <col min="1031" max="1031" width="9" style="187" bestFit="1" customWidth="1"/>
    <col min="1032" max="1032" width="9.7109375" style="187" bestFit="1" customWidth="1"/>
    <col min="1033" max="1033" width="8.28515625" style="187" bestFit="1" customWidth="1"/>
    <col min="1034" max="1034" width="24.28515625" style="187" bestFit="1" customWidth="1"/>
    <col min="1035" max="1284" width="9.140625" style="187"/>
    <col min="1285" max="1285" width="13.140625" style="187" customWidth="1"/>
    <col min="1286" max="1286" width="8.5703125" style="187" bestFit="1" customWidth="1"/>
    <col min="1287" max="1287" width="9" style="187" bestFit="1" customWidth="1"/>
    <col min="1288" max="1288" width="9.7109375" style="187" bestFit="1" customWidth="1"/>
    <col min="1289" max="1289" width="8.28515625" style="187" bestFit="1" customWidth="1"/>
    <col min="1290" max="1290" width="24.28515625" style="187" bestFit="1" customWidth="1"/>
    <col min="1291" max="1540" width="9.140625" style="187"/>
    <col min="1541" max="1541" width="13.140625" style="187" customWidth="1"/>
    <col min="1542" max="1542" width="8.5703125" style="187" bestFit="1" customWidth="1"/>
    <col min="1543" max="1543" width="9" style="187" bestFit="1" customWidth="1"/>
    <col min="1544" max="1544" width="9.7109375" style="187" bestFit="1" customWidth="1"/>
    <col min="1545" max="1545" width="8.28515625" style="187" bestFit="1" customWidth="1"/>
    <col min="1546" max="1546" width="24.28515625" style="187" bestFit="1" customWidth="1"/>
    <col min="1547" max="1796" width="9.140625" style="187"/>
    <col min="1797" max="1797" width="13.140625" style="187" customWidth="1"/>
    <col min="1798" max="1798" width="8.5703125" style="187" bestFit="1" customWidth="1"/>
    <col min="1799" max="1799" width="9" style="187" bestFit="1" customWidth="1"/>
    <col min="1800" max="1800" width="9.7109375" style="187" bestFit="1" customWidth="1"/>
    <col min="1801" max="1801" width="8.28515625" style="187" bestFit="1" customWidth="1"/>
    <col min="1802" max="1802" width="24.28515625" style="187" bestFit="1" customWidth="1"/>
    <col min="1803" max="2052" width="9.140625" style="187"/>
    <col min="2053" max="2053" width="13.140625" style="187" customWidth="1"/>
    <col min="2054" max="2054" width="8.5703125" style="187" bestFit="1" customWidth="1"/>
    <col min="2055" max="2055" width="9" style="187" bestFit="1" customWidth="1"/>
    <col min="2056" max="2056" width="9.7109375" style="187" bestFit="1" customWidth="1"/>
    <col min="2057" max="2057" width="8.28515625" style="187" bestFit="1" customWidth="1"/>
    <col min="2058" max="2058" width="24.28515625" style="187" bestFit="1" customWidth="1"/>
    <col min="2059" max="2308" width="9.140625" style="187"/>
    <col min="2309" max="2309" width="13.140625" style="187" customWidth="1"/>
    <col min="2310" max="2310" width="8.5703125" style="187" bestFit="1" customWidth="1"/>
    <col min="2311" max="2311" width="9" style="187" bestFit="1" customWidth="1"/>
    <col min="2312" max="2312" width="9.7109375" style="187" bestFit="1" customWidth="1"/>
    <col min="2313" max="2313" width="8.28515625" style="187" bestFit="1" customWidth="1"/>
    <col min="2314" max="2314" width="24.28515625" style="187" bestFit="1" customWidth="1"/>
    <col min="2315" max="2564" width="9.140625" style="187"/>
    <col min="2565" max="2565" width="13.140625" style="187" customWidth="1"/>
    <col min="2566" max="2566" width="8.5703125" style="187" bestFit="1" customWidth="1"/>
    <col min="2567" max="2567" width="9" style="187" bestFit="1" customWidth="1"/>
    <col min="2568" max="2568" width="9.7109375" style="187" bestFit="1" customWidth="1"/>
    <col min="2569" max="2569" width="8.28515625" style="187" bestFit="1" customWidth="1"/>
    <col min="2570" max="2570" width="24.28515625" style="187" bestFit="1" customWidth="1"/>
    <col min="2571" max="2820" width="9.140625" style="187"/>
    <col min="2821" max="2821" width="13.140625" style="187" customWidth="1"/>
    <col min="2822" max="2822" width="8.5703125" style="187" bestFit="1" customWidth="1"/>
    <col min="2823" max="2823" width="9" style="187" bestFit="1" customWidth="1"/>
    <col min="2824" max="2824" width="9.7109375" style="187" bestFit="1" customWidth="1"/>
    <col min="2825" max="2825" width="8.28515625" style="187" bestFit="1" customWidth="1"/>
    <col min="2826" max="2826" width="24.28515625" style="187" bestFit="1" customWidth="1"/>
    <col min="2827" max="3076" width="9.140625" style="187"/>
    <col min="3077" max="3077" width="13.140625" style="187" customWidth="1"/>
    <col min="3078" max="3078" width="8.5703125" style="187" bestFit="1" customWidth="1"/>
    <col min="3079" max="3079" width="9" style="187" bestFit="1" customWidth="1"/>
    <col min="3080" max="3080" width="9.7109375" style="187" bestFit="1" customWidth="1"/>
    <col min="3081" max="3081" width="8.28515625" style="187" bestFit="1" customWidth="1"/>
    <col min="3082" max="3082" width="24.28515625" style="187" bestFit="1" customWidth="1"/>
    <col min="3083" max="3332" width="9.140625" style="187"/>
    <col min="3333" max="3333" width="13.140625" style="187" customWidth="1"/>
    <col min="3334" max="3334" width="8.5703125" style="187" bestFit="1" customWidth="1"/>
    <col min="3335" max="3335" width="9" style="187" bestFit="1" customWidth="1"/>
    <col min="3336" max="3336" width="9.7109375" style="187" bestFit="1" customWidth="1"/>
    <col min="3337" max="3337" width="8.28515625" style="187" bestFit="1" customWidth="1"/>
    <col min="3338" max="3338" width="24.28515625" style="187" bestFit="1" customWidth="1"/>
    <col min="3339" max="3588" width="9.140625" style="187"/>
    <col min="3589" max="3589" width="13.140625" style="187" customWidth="1"/>
    <col min="3590" max="3590" width="8.5703125" style="187" bestFit="1" customWidth="1"/>
    <col min="3591" max="3591" width="9" style="187" bestFit="1" customWidth="1"/>
    <col min="3592" max="3592" width="9.7109375" style="187" bestFit="1" customWidth="1"/>
    <col min="3593" max="3593" width="8.28515625" style="187" bestFit="1" customWidth="1"/>
    <col min="3594" max="3594" width="24.28515625" style="187" bestFit="1" customWidth="1"/>
    <col min="3595" max="3844" width="9.140625" style="187"/>
    <col min="3845" max="3845" width="13.140625" style="187" customWidth="1"/>
    <col min="3846" max="3846" width="8.5703125" style="187" bestFit="1" customWidth="1"/>
    <col min="3847" max="3847" width="9" style="187" bestFit="1" customWidth="1"/>
    <col min="3848" max="3848" width="9.7109375" style="187" bestFit="1" customWidth="1"/>
    <col min="3849" max="3849" width="8.28515625" style="187" bestFit="1" customWidth="1"/>
    <col min="3850" max="3850" width="24.28515625" style="187" bestFit="1" customWidth="1"/>
    <col min="3851" max="4100" width="9.140625" style="187"/>
    <col min="4101" max="4101" width="13.140625" style="187" customWidth="1"/>
    <col min="4102" max="4102" width="8.5703125" style="187" bestFit="1" customWidth="1"/>
    <col min="4103" max="4103" width="9" style="187" bestFit="1" customWidth="1"/>
    <col min="4104" max="4104" width="9.7109375" style="187" bestFit="1" customWidth="1"/>
    <col min="4105" max="4105" width="8.28515625" style="187" bestFit="1" customWidth="1"/>
    <col min="4106" max="4106" width="24.28515625" style="187" bestFit="1" customWidth="1"/>
    <col min="4107" max="4356" width="9.140625" style="187"/>
    <col min="4357" max="4357" width="13.140625" style="187" customWidth="1"/>
    <col min="4358" max="4358" width="8.5703125" style="187" bestFit="1" customWidth="1"/>
    <col min="4359" max="4359" width="9" style="187" bestFit="1" customWidth="1"/>
    <col min="4360" max="4360" width="9.7109375" style="187" bestFit="1" customWidth="1"/>
    <col min="4361" max="4361" width="8.28515625" style="187" bestFit="1" customWidth="1"/>
    <col min="4362" max="4362" width="24.28515625" style="187" bestFit="1" customWidth="1"/>
    <col min="4363" max="4612" width="9.140625" style="187"/>
    <col min="4613" max="4613" width="13.140625" style="187" customWidth="1"/>
    <col min="4614" max="4614" width="8.5703125" style="187" bestFit="1" customWidth="1"/>
    <col min="4615" max="4615" width="9" style="187" bestFit="1" customWidth="1"/>
    <col min="4616" max="4616" width="9.7109375" style="187" bestFit="1" customWidth="1"/>
    <col min="4617" max="4617" width="8.28515625" style="187" bestFit="1" customWidth="1"/>
    <col min="4618" max="4618" width="24.28515625" style="187" bestFit="1" customWidth="1"/>
    <col min="4619" max="4868" width="9.140625" style="187"/>
    <col min="4869" max="4869" width="13.140625" style="187" customWidth="1"/>
    <col min="4870" max="4870" width="8.5703125" style="187" bestFit="1" customWidth="1"/>
    <col min="4871" max="4871" width="9" style="187" bestFit="1" customWidth="1"/>
    <col min="4872" max="4872" width="9.7109375" style="187" bestFit="1" customWidth="1"/>
    <col min="4873" max="4873" width="8.28515625" style="187" bestFit="1" customWidth="1"/>
    <col min="4874" max="4874" width="24.28515625" style="187" bestFit="1" customWidth="1"/>
    <col min="4875" max="5124" width="9.140625" style="187"/>
    <col min="5125" max="5125" width="13.140625" style="187" customWidth="1"/>
    <col min="5126" max="5126" width="8.5703125" style="187" bestFit="1" customWidth="1"/>
    <col min="5127" max="5127" width="9" style="187" bestFit="1" customWidth="1"/>
    <col min="5128" max="5128" width="9.7109375" style="187" bestFit="1" customWidth="1"/>
    <col min="5129" max="5129" width="8.28515625" style="187" bestFit="1" customWidth="1"/>
    <col min="5130" max="5130" width="24.28515625" style="187" bestFit="1" customWidth="1"/>
    <col min="5131" max="5380" width="9.140625" style="187"/>
    <col min="5381" max="5381" width="13.140625" style="187" customWidth="1"/>
    <col min="5382" max="5382" width="8.5703125" style="187" bestFit="1" customWidth="1"/>
    <col min="5383" max="5383" width="9" style="187" bestFit="1" customWidth="1"/>
    <col min="5384" max="5384" width="9.7109375" style="187" bestFit="1" customWidth="1"/>
    <col min="5385" max="5385" width="8.28515625" style="187" bestFit="1" customWidth="1"/>
    <col min="5386" max="5386" width="24.28515625" style="187" bestFit="1" customWidth="1"/>
    <col min="5387" max="5636" width="9.140625" style="187"/>
    <col min="5637" max="5637" width="13.140625" style="187" customWidth="1"/>
    <col min="5638" max="5638" width="8.5703125" style="187" bestFit="1" customWidth="1"/>
    <col min="5639" max="5639" width="9" style="187" bestFit="1" customWidth="1"/>
    <col min="5640" max="5640" width="9.7109375" style="187" bestFit="1" customWidth="1"/>
    <col min="5641" max="5641" width="8.28515625" style="187" bestFit="1" customWidth="1"/>
    <col min="5642" max="5642" width="24.28515625" style="187" bestFit="1" customWidth="1"/>
    <col min="5643" max="5892" width="9.140625" style="187"/>
    <col min="5893" max="5893" width="13.140625" style="187" customWidth="1"/>
    <col min="5894" max="5894" width="8.5703125" style="187" bestFit="1" customWidth="1"/>
    <col min="5895" max="5895" width="9" style="187" bestFit="1" customWidth="1"/>
    <col min="5896" max="5896" width="9.7109375" style="187" bestFit="1" customWidth="1"/>
    <col min="5897" max="5897" width="8.28515625" style="187" bestFit="1" customWidth="1"/>
    <col min="5898" max="5898" width="24.28515625" style="187" bestFit="1" customWidth="1"/>
    <col min="5899" max="6148" width="9.140625" style="187"/>
    <col min="6149" max="6149" width="13.140625" style="187" customWidth="1"/>
    <col min="6150" max="6150" width="8.5703125" style="187" bestFit="1" customWidth="1"/>
    <col min="6151" max="6151" width="9" style="187" bestFit="1" customWidth="1"/>
    <col min="6152" max="6152" width="9.7109375" style="187" bestFit="1" customWidth="1"/>
    <col min="6153" max="6153" width="8.28515625" style="187" bestFit="1" customWidth="1"/>
    <col min="6154" max="6154" width="24.28515625" style="187" bestFit="1" customWidth="1"/>
    <col min="6155" max="6404" width="9.140625" style="187"/>
    <col min="6405" max="6405" width="13.140625" style="187" customWidth="1"/>
    <col min="6406" max="6406" width="8.5703125" style="187" bestFit="1" customWidth="1"/>
    <col min="6407" max="6407" width="9" style="187" bestFit="1" customWidth="1"/>
    <col min="6408" max="6408" width="9.7109375" style="187" bestFit="1" customWidth="1"/>
    <col min="6409" max="6409" width="8.28515625" style="187" bestFit="1" customWidth="1"/>
    <col min="6410" max="6410" width="24.28515625" style="187" bestFit="1" customWidth="1"/>
    <col min="6411" max="6660" width="9.140625" style="187"/>
    <col min="6661" max="6661" width="13.140625" style="187" customWidth="1"/>
    <col min="6662" max="6662" width="8.5703125" style="187" bestFit="1" customWidth="1"/>
    <col min="6663" max="6663" width="9" style="187" bestFit="1" customWidth="1"/>
    <col min="6664" max="6664" width="9.7109375" style="187" bestFit="1" customWidth="1"/>
    <col min="6665" max="6665" width="8.28515625" style="187" bestFit="1" customWidth="1"/>
    <col min="6666" max="6666" width="24.28515625" style="187" bestFit="1" customWidth="1"/>
    <col min="6667" max="6916" width="9.140625" style="187"/>
    <col min="6917" max="6917" width="13.140625" style="187" customWidth="1"/>
    <col min="6918" max="6918" width="8.5703125" style="187" bestFit="1" customWidth="1"/>
    <col min="6919" max="6919" width="9" style="187" bestFit="1" customWidth="1"/>
    <col min="6920" max="6920" width="9.7109375" style="187" bestFit="1" customWidth="1"/>
    <col min="6921" max="6921" width="8.28515625" style="187" bestFit="1" customWidth="1"/>
    <col min="6922" max="6922" width="24.28515625" style="187" bestFit="1" customWidth="1"/>
    <col min="6923" max="7172" width="9.140625" style="187"/>
    <col min="7173" max="7173" width="13.140625" style="187" customWidth="1"/>
    <col min="7174" max="7174" width="8.5703125" style="187" bestFit="1" customWidth="1"/>
    <col min="7175" max="7175" width="9" style="187" bestFit="1" customWidth="1"/>
    <col min="7176" max="7176" width="9.7109375" style="187" bestFit="1" customWidth="1"/>
    <col min="7177" max="7177" width="8.28515625" style="187" bestFit="1" customWidth="1"/>
    <col min="7178" max="7178" width="24.28515625" style="187" bestFit="1" customWidth="1"/>
    <col min="7179" max="7428" width="9.140625" style="187"/>
    <col min="7429" max="7429" width="13.140625" style="187" customWidth="1"/>
    <col min="7430" max="7430" width="8.5703125" style="187" bestFit="1" customWidth="1"/>
    <col min="7431" max="7431" width="9" style="187" bestFit="1" customWidth="1"/>
    <col min="7432" max="7432" width="9.7109375" style="187" bestFit="1" customWidth="1"/>
    <col min="7433" max="7433" width="8.28515625" style="187" bestFit="1" customWidth="1"/>
    <col min="7434" max="7434" width="24.28515625" style="187" bestFit="1" customWidth="1"/>
    <col min="7435" max="7684" width="9.140625" style="187"/>
    <col min="7685" max="7685" width="13.140625" style="187" customWidth="1"/>
    <col min="7686" max="7686" width="8.5703125" style="187" bestFit="1" customWidth="1"/>
    <col min="7687" max="7687" width="9" style="187" bestFit="1" customWidth="1"/>
    <col min="7688" max="7688" width="9.7109375" style="187" bestFit="1" customWidth="1"/>
    <col min="7689" max="7689" width="8.28515625" style="187" bestFit="1" customWidth="1"/>
    <col min="7690" max="7690" width="24.28515625" style="187" bestFit="1" customWidth="1"/>
    <col min="7691" max="7940" width="9.140625" style="187"/>
    <col min="7941" max="7941" width="13.140625" style="187" customWidth="1"/>
    <col min="7942" max="7942" width="8.5703125" style="187" bestFit="1" customWidth="1"/>
    <col min="7943" max="7943" width="9" style="187" bestFit="1" customWidth="1"/>
    <col min="7944" max="7944" width="9.7109375" style="187" bestFit="1" customWidth="1"/>
    <col min="7945" max="7945" width="8.28515625" style="187" bestFit="1" customWidth="1"/>
    <col min="7946" max="7946" width="24.28515625" style="187" bestFit="1" customWidth="1"/>
    <col min="7947" max="8196" width="9.140625" style="187"/>
    <col min="8197" max="8197" width="13.140625" style="187" customWidth="1"/>
    <col min="8198" max="8198" width="8.5703125" style="187" bestFit="1" customWidth="1"/>
    <col min="8199" max="8199" width="9" style="187" bestFit="1" customWidth="1"/>
    <col min="8200" max="8200" width="9.7109375" style="187" bestFit="1" customWidth="1"/>
    <col min="8201" max="8201" width="8.28515625" style="187" bestFit="1" customWidth="1"/>
    <col min="8202" max="8202" width="24.28515625" style="187" bestFit="1" customWidth="1"/>
    <col min="8203" max="8452" width="9.140625" style="187"/>
    <col min="8453" max="8453" width="13.140625" style="187" customWidth="1"/>
    <col min="8454" max="8454" width="8.5703125" style="187" bestFit="1" customWidth="1"/>
    <col min="8455" max="8455" width="9" style="187" bestFit="1" customWidth="1"/>
    <col min="8456" max="8456" width="9.7109375" style="187" bestFit="1" customWidth="1"/>
    <col min="8457" max="8457" width="8.28515625" style="187" bestFit="1" customWidth="1"/>
    <col min="8458" max="8458" width="24.28515625" style="187" bestFit="1" customWidth="1"/>
    <col min="8459" max="8708" width="9.140625" style="187"/>
    <col min="8709" max="8709" width="13.140625" style="187" customWidth="1"/>
    <col min="8710" max="8710" width="8.5703125" style="187" bestFit="1" customWidth="1"/>
    <col min="8711" max="8711" width="9" style="187" bestFit="1" customWidth="1"/>
    <col min="8712" max="8712" width="9.7109375" style="187" bestFit="1" customWidth="1"/>
    <col min="8713" max="8713" width="8.28515625" style="187" bestFit="1" customWidth="1"/>
    <col min="8714" max="8714" width="24.28515625" style="187" bestFit="1" customWidth="1"/>
    <col min="8715" max="8964" width="9.140625" style="187"/>
    <col min="8965" max="8965" width="13.140625" style="187" customWidth="1"/>
    <col min="8966" max="8966" width="8.5703125" style="187" bestFit="1" customWidth="1"/>
    <col min="8967" max="8967" width="9" style="187" bestFit="1" customWidth="1"/>
    <col min="8968" max="8968" width="9.7109375" style="187" bestFit="1" customWidth="1"/>
    <col min="8969" max="8969" width="8.28515625" style="187" bestFit="1" customWidth="1"/>
    <col min="8970" max="8970" width="24.28515625" style="187" bestFit="1" customWidth="1"/>
    <col min="8971" max="9220" width="9.140625" style="187"/>
    <col min="9221" max="9221" width="13.140625" style="187" customWidth="1"/>
    <col min="9222" max="9222" width="8.5703125" style="187" bestFit="1" customWidth="1"/>
    <col min="9223" max="9223" width="9" style="187" bestFit="1" customWidth="1"/>
    <col min="9224" max="9224" width="9.7109375" style="187" bestFit="1" customWidth="1"/>
    <col min="9225" max="9225" width="8.28515625" style="187" bestFit="1" customWidth="1"/>
    <col min="9226" max="9226" width="24.28515625" style="187" bestFit="1" customWidth="1"/>
    <col min="9227" max="9476" width="9.140625" style="187"/>
    <col min="9477" max="9477" width="13.140625" style="187" customWidth="1"/>
    <col min="9478" max="9478" width="8.5703125" style="187" bestFit="1" customWidth="1"/>
    <col min="9479" max="9479" width="9" style="187" bestFit="1" customWidth="1"/>
    <col min="9480" max="9480" width="9.7109375" style="187" bestFit="1" customWidth="1"/>
    <col min="9481" max="9481" width="8.28515625" style="187" bestFit="1" customWidth="1"/>
    <col min="9482" max="9482" width="24.28515625" style="187" bestFit="1" customWidth="1"/>
    <col min="9483" max="9732" width="9.140625" style="187"/>
    <col min="9733" max="9733" width="13.140625" style="187" customWidth="1"/>
    <col min="9734" max="9734" width="8.5703125" style="187" bestFit="1" customWidth="1"/>
    <col min="9735" max="9735" width="9" style="187" bestFit="1" customWidth="1"/>
    <col min="9736" max="9736" width="9.7109375" style="187" bestFit="1" customWidth="1"/>
    <col min="9737" max="9737" width="8.28515625" style="187" bestFit="1" customWidth="1"/>
    <col min="9738" max="9738" width="24.28515625" style="187" bestFit="1" customWidth="1"/>
    <col min="9739" max="9988" width="9.140625" style="187"/>
    <col min="9989" max="9989" width="13.140625" style="187" customWidth="1"/>
    <col min="9990" max="9990" width="8.5703125" style="187" bestFit="1" customWidth="1"/>
    <col min="9991" max="9991" width="9" style="187" bestFit="1" customWidth="1"/>
    <col min="9992" max="9992" width="9.7109375" style="187" bestFit="1" customWidth="1"/>
    <col min="9993" max="9993" width="8.28515625" style="187" bestFit="1" customWidth="1"/>
    <col min="9994" max="9994" width="24.28515625" style="187" bestFit="1" customWidth="1"/>
    <col min="9995" max="10244" width="9.140625" style="187"/>
    <col min="10245" max="10245" width="13.140625" style="187" customWidth="1"/>
    <col min="10246" max="10246" width="8.5703125" style="187" bestFit="1" customWidth="1"/>
    <col min="10247" max="10247" width="9" style="187" bestFit="1" customWidth="1"/>
    <col min="10248" max="10248" width="9.7109375" style="187" bestFit="1" customWidth="1"/>
    <col min="10249" max="10249" width="8.28515625" style="187" bestFit="1" customWidth="1"/>
    <col min="10250" max="10250" width="24.28515625" style="187" bestFit="1" customWidth="1"/>
    <col min="10251" max="10500" width="9.140625" style="187"/>
    <col min="10501" max="10501" width="13.140625" style="187" customWidth="1"/>
    <col min="10502" max="10502" width="8.5703125" style="187" bestFit="1" customWidth="1"/>
    <col min="10503" max="10503" width="9" style="187" bestFit="1" customWidth="1"/>
    <col min="10504" max="10504" width="9.7109375" style="187" bestFit="1" customWidth="1"/>
    <col min="10505" max="10505" width="8.28515625" style="187" bestFit="1" customWidth="1"/>
    <col min="10506" max="10506" width="24.28515625" style="187" bestFit="1" customWidth="1"/>
    <col min="10507" max="10756" width="9.140625" style="187"/>
    <col min="10757" max="10757" width="13.140625" style="187" customWidth="1"/>
    <col min="10758" max="10758" width="8.5703125" style="187" bestFit="1" customWidth="1"/>
    <col min="10759" max="10759" width="9" style="187" bestFit="1" customWidth="1"/>
    <col min="10760" max="10760" width="9.7109375" style="187" bestFit="1" customWidth="1"/>
    <col min="10761" max="10761" width="8.28515625" style="187" bestFit="1" customWidth="1"/>
    <col min="10762" max="10762" width="24.28515625" style="187" bestFit="1" customWidth="1"/>
    <col min="10763" max="11012" width="9.140625" style="187"/>
    <col min="11013" max="11013" width="13.140625" style="187" customWidth="1"/>
    <col min="11014" max="11014" width="8.5703125" style="187" bestFit="1" customWidth="1"/>
    <col min="11015" max="11015" width="9" style="187" bestFit="1" customWidth="1"/>
    <col min="11016" max="11016" width="9.7109375" style="187" bestFit="1" customWidth="1"/>
    <col min="11017" max="11017" width="8.28515625" style="187" bestFit="1" customWidth="1"/>
    <col min="11018" max="11018" width="24.28515625" style="187" bestFit="1" customWidth="1"/>
    <col min="11019" max="11268" width="9.140625" style="187"/>
    <col min="11269" max="11269" width="13.140625" style="187" customWidth="1"/>
    <col min="11270" max="11270" width="8.5703125" style="187" bestFit="1" customWidth="1"/>
    <col min="11271" max="11271" width="9" style="187" bestFit="1" customWidth="1"/>
    <col min="11272" max="11272" width="9.7109375" style="187" bestFit="1" customWidth="1"/>
    <col min="11273" max="11273" width="8.28515625" style="187" bestFit="1" customWidth="1"/>
    <col min="11274" max="11274" width="24.28515625" style="187" bestFit="1" customWidth="1"/>
    <col min="11275" max="11524" width="9.140625" style="187"/>
    <col min="11525" max="11525" width="13.140625" style="187" customWidth="1"/>
    <col min="11526" max="11526" width="8.5703125" style="187" bestFit="1" customWidth="1"/>
    <col min="11527" max="11527" width="9" style="187" bestFit="1" customWidth="1"/>
    <col min="11528" max="11528" width="9.7109375" style="187" bestFit="1" customWidth="1"/>
    <col min="11529" max="11529" width="8.28515625" style="187" bestFit="1" customWidth="1"/>
    <col min="11530" max="11530" width="24.28515625" style="187" bestFit="1" customWidth="1"/>
    <col min="11531" max="11780" width="9.140625" style="187"/>
    <col min="11781" max="11781" width="13.140625" style="187" customWidth="1"/>
    <col min="11782" max="11782" width="8.5703125" style="187" bestFit="1" customWidth="1"/>
    <col min="11783" max="11783" width="9" style="187" bestFit="1" customWidth="1"/>
    <col min="11784" max="11784" width="9.7109375" style="187" bestFit="1" customWidth="1"/>
    <col min="11785" max="11785" width="8.28515625" style="187" bestFit="1" customWidth="1"/>
    <col min="11786" max="11786" width="24.28515625" style="187" bestFit="1" customWidth="1"/>
    <col min="11787" max="12036" width="9.140625" style="187"/>
    <col min="12037" max="12037" width="13.140625" style="187" customWidth="1"/>
    <col min="12038" max="12038" width="8.5703125" style="187" bestFit="1" customWidth="1"/>
    <col min="12039" max="12039" width="9" style="187" bestFit="1" customWidth="1"/>
    <col min="12040" max="12040" width="9.7109375" style="187" bestFit="1" customWidth="1"/>
    <col min="12041" max="12041" width="8.28515625" style="187" bestFit="1" customWidth="1"/>
    <col min="12042" max="12042" width="24.28515625" style="187" bestFit="1" customWidth="1"/>
    <col min="12043" max="12292" width="9.140625" style="187"/>
    <col min="12293" max="12293" width="13.140625" style="187" customWidth="1"/>
    <col min="12294" max="12294" width="8.5703125" style="187" bestFit="1" customWidth="1"/>
    <col min="12295" max="12295" width="9" style="187" bestFit="1" customWidth="1"/>
    <col min="12296" max="12296" width="9.7109375" style="187" bestFit="1" customWidth="1"/>
    <col min="12297" max="12297" width="8.28515625" style="187" bestFit="1" customWidth="1"/>
    <col min="12298" max="12298" width="24.28515625" style="187" bestFit="1" customWidth="1"/>
    <col min="12299" max="12548" width="9.140625" style="187"/>
    <col min="12549" max="12549" width="13.140625" style="187" customWidth="1"/>
    <col min="12550" max="12550" width="8.5703125" style="187" bestFit="1" customWidth="1"/>
    <col min="12551" max="12551" width="9" style="187" bestFit="1" customWidth="1"/>
    <col min="12552" max="12552" width="9.7109375" style="187" bestFit="1" customWidth="1"/>
    <col min="12553" max="12553" width="8.28515625" style="187" bestFit="1" customWidth="1"/>
    <col min="12554" max="12554" width="24.28515625" style="187" bestFit="1" customWidth="1"/>
    <col min="12555" max="12804" width="9.140625" style="187"/>
    <col min="12805" max="12805" width="13.140625" style="187" customWidth="1"/>
    <col min="12806" max="12806" width="8.5703125" style="187" bestFit="1" customWidth="1"/>
    <col min="12807" max="12807" width="9" style="187" bestFit="1" customWidth="1"/>
    <col min="12808" max="12808" width="9.7109375" style="187" bestFit="1" customWidth="1"/>
    <col min="12809" max="12809" width="8.28515625" style="187" bestFit="1" customWidth="1"/>
    <col min="12810" max="12810" width="24.28515625" style="187" bestFit="1" customWidth="1"/>
    <col min="12811" max="13060" width="9.140625" style="187"/>
    <col min="13061" max="13061" width="13.140625" style="187" customWidth="1"/>
    <col min="13062" max="13062" width="8.5703125" style="187" bestFit="1" customWidth="1"/>
    <col min="13063" max="13063" width="9" style="187" bestFit="1" customWidth="1"/>
    <col min="13064" max="13064" width="9.7109375" style="187" bestFit="1" customWidth="1"/>
    <col min="13065" max="13065" width="8.28515625" style="187" bestFit="1" customWidth="1"/>
    <col min="13066" max="13066" width="24.28515625" style="187" bestFit="1" customWidth="1"/>
    <col min="13067" max="13316" width="9.140625" style="187"/>
    <col min="13317" max="13317" width="13.140625" style="187" customWidth="1"/>
    <col min="13318" max="13318" width="8.5703125" style="187" bestFit="1" customWidth="1"/>
    <col min="13319" max="13319" width="9" style="187" bestFit="1" customWidth="1"/>
    <col min="13320" max="13320" width="9.7109375" style="187" bestFit="1" customWidth="1"/>
    <col min="13321" max="13321" width="8.28515625" style="187" bestFit="1" customWidth="1"/>
    <col min="13322" max="13322" width="24.28515625" style="187" bestFit="1" customWidth="1"/>
    <col min="13323" max="13572" width="9.140625" style="187"/>
    <col min="13573" max="13573" width="13.140625" style="187" customWidth="1"/>
    <col min="13574" max="13574" width="8.5703125" style="187" bestFit="1" customWidth="1"/>
    <col min="13575" max="13575" width="9" style="187" bestFit="1" customWidth="1"/>
    <col min="13576" max="13576" width="9.7109375" style="187" bestFit="1" customWidth="1"/>
    <col min="13577" max="13577" width="8.28515625" style="187" bestFit="1" customWidth="1"/>
    <col min="13578" max="13578" width="24.28515625" style="187" bestFit="1" customWidth="1"/>
    <col min="13579" max="13828" width="9.140625" style="187"/>
    <col min="13829" max="13829" width="13.140625" style="187" customWidth="1"/>
    <col min="13830" max="13830" width="8.5703125" style="187" bestFit="1" customWidth="1"/>
    <col min="13831" max="13831" width="9" style="187" bestFit="1" customWidth="1"/>
    <col min="13832" max="13832" width="9.7109375" style="187" bestFit="1" customWidth="1"/>
    <col min="13833" max="13833" width="8.28515625" style="187" bestFit="1" customWidth="1"/>
    <col min="13834" max="13834" width="24.28515625" style="187" bestFit="1" customWidth="1"/>
    <col min="13835" max="14084" width="9.140625" style="187"/>
    <col min="14085" max="14085" width="13.140625" style="187" customWidth="1"/>
    <col min="14086" max="14086" width="8.5703125" style="187" bestFit="1" customWidth="1"/>
    <col min="14087" max="14087" width="9" style="187" bestFit="1" customWidth="1"/>
    <col min="14088" max="14088" width="9.7109375" style="187" bestFit="1" customWidth="1"/>
    <col min="14089" max="14089" width="8.28515625" style="187" bestFit="1" customWidth="1"/>
    <col min="14090" max="14090" width="24.28515625" style="187" bestFit="1" customWidth="1"/>
    <col min="14091" max="14340" width="9.140625" style="187"/>
    <col min="14341" max="14341" width="13.140625" style="187" customWidth="1"/>
    <col min="14342" max="14342" width="8.5703125" style="187" bestFit="1" customWidth="1"/>
    <col min="14343" max="14343" width="9" style="187" bestFit="1" customWidth="1"/>
    <col min="14344" max="14344" width="9.7109375" style="187" bestFit="1" customWidth="1"/>
    <col min="14345" max="14345" width="8.28515625" style="187" bestFit="1" customWidth="1"/>
    <col min="14346" max="14346" width="24.28515625" style="187" bestFit="1" customWidth="1"/>
    <col min="14347" max="14596" width="9.140625" style="187"/>
    <col min="14597" max="14597" width="13.140625" style="187" customWidth="1"/>
    <col min="14598" max="14598" width="8.5703125" style="187" bestFit="1" customWidth="1"/>
    <col min="14599" max="14599" width="9" style="187" bestFit="1" customWidth="1"/>
    <col min="14600" max="14600" width="9.7109375" style="187" bestFit="1" customWidth="1"/>
    <col min="14601" max="14601" width="8.28515625" style="187" bestFit="1" customWidth="1"/>
    <col min="14602" max="14602" width="24.28515625" style="187" bestFit="1" customWidth="1"/>
    <col min="14603" max="14852" width="9.140625" style="187"/>
    <col min="14853" max="14853" width="13.140625" style="187" customWidth="1"/>
    <col min="14854" max="14854" width="8.5703125" style="187" bestFit="1" customWidth="1"/>
    <col min="14855" max="14855" width="9" style="187" bestFit="1" customWidth="1"/>
    <col min="14856" max="14856" width="9.7109375" style="187" bestFit="1" customWidth="1"/>
    <col min="14857" max="14857" width="8.28515625" style="187" bestFit="1" customWidth="1"/>
    <col min="14858" max="14858" width="24.28515625" style="187" bestFit="1" customWidth="1"/>
    <col min="14859" max="15108" width="9.140625" style="187"/>
    <col min="15109" max="15109" width="13.140625" style="187" customWidth="1"/>
    <col min="15110" max="15110" width="8.5703125" style="187" bestFit="1" customWidth="1"/>
    <col min="15111" max="15111" width="9" style="187" bestFit="1" customWidth="1"/>
    <col min="15112" max="15112" width="9.7109375" style="187" bestFit="1" customWidth="1"/>
    <col min="15113" max="15113" width="8.28515625" style="187" bestFit="1" customWidth="1"/>
    <col min="15114" max="15114" width="24.28515625" style="187" bestFit="1" customWidth="1"/>
    <col min="15115" max="15364" width="9.140625" style="187"/>
    <col min="15365" max="15365" width="13.140625" style="187" customWidth="1"/>
    <col min="15366" max="15366" width="8.5703125" style="187" bestFit="1" customWidth="1"/>
    <col min="15367" max="15367" width="9" style="187" bestFit="1" customWidth="1"/>
    <col min="15368" max="15368" width="9.7109375" style="187" bestFit="1" customWidth="1"/>
    <col min="15369" max="15369" width="8.28515625" style="187" bestFit="1" customWidth="1"/>
    <col min="15370" max="15370" width="24.28515625" style="187" bestFit="1" customWidth="1"/>
    <col min="15371" max="15620" width="9.140625" style="187"/>
    <col min="15621" max="15621" width="13.140625" style="187" customWidth="1"/>
    <col min="15622" max="15622" width="8.5703125" style="187" bestFit="1" customWidth="1"/>
    <col min="15623" max="15623" width="9" style="187" bestFit="1" customWidth="1"/>
    <col min="15624" max="15624" width="9.7109375" style="187" bestFit="1" customWidth="1"/>
    <col min="15625" max="15625" width="8.28515625" style="187" bestFit="1" customWidth="1"/>
    <col min="15626" max="15626" width="24.28515625" style="187" bestFit="1" customWidth="1"/>
    <col min="15627" max="15876" width="9.140625" style="187"/>
    <col min="15877" max="15877" width="13.140625" style="187" customWidth="1"/>
    <col min="15878" max="15878" width="8.5703125" style="187" bestFit="1" customWidth="1"/>
    <col min="15879" max="15879" width="9" style="187" bestFit="1" customWidth="1"/>
    <col min="15880" max="15880" width="9.7109375" style="187" bestFit="1" customWidth="1"/>
    <col min="15881" max="15881" width="8.28515625" style="187" bestFit="1" customWidth="1"/>
    <col min="15882" max="15882" width="24.28515625" style="187" bestFit="1" customWidth="1"/>
    <col min="15883" max="16132" width="9.140625" style="187"/>
    <col min="16133" max="16133" width="13.140625" style="187" customWidth="1"/>
    <col min="16134" max="16134" width="8.5703125" style="187" bestFit="1" customWidth="1"/>
    <col min="16135" max="16135" width="9" style="187" bestFit="1" customWidth="1"/>
    <col min="16136" max="16136" width="9.7109375" style="187" bestFit="1" customWidth="1"/>
    <col min="16137" max="16137" width="8.28515625" style="187" bestFit="1" customWidth="1"/>
    <col min="16138" max="16138" width="24.28515625" style="187" bestFit="1" customWidth="1"/>
    <col min="16139" max="16384" width="9.140625" style="187"/>
  </cols>
  <sheetData>
    <row r="1" spans="1:10">
      <c r="A1" s="129"/>
      <c r="B1" s="122"/>
      <c r="C1" s="349" t="s">
        <v>316</v>
      </c>
      <c r="D1" s="350"/>
      <c r="E1" s="350"/>
      <c r="F1" s="350"/>
      <c r="G1" s="350"/>
      <c r="H1" s="350"/>
      <c r="I1" s="351"/>
    </row>
    <row r="2" spans="1:10" s="190" customFormat="1">
      <c r="A2" s="112"/>
      <c r="B2" s="115"/>
      <c r="C2" s="355" t="s">
        <v>317</v>
      </c>
      <c r="D2" s="356"/>
      <c r="E2" s="356"/>
      <c r="F2" s="357"/>
      <c r="G2" s="188"/>
      <c r="H2" s="188" t="s">
        <v>318</v>
      </c>
      <c r="I2" s="189">
        <f>COUNT(D7:D10)</f>
        <v>2</v>
      </c>
      <c r="J2" s="187"/>
    </row>
    <row r="3" spans="1:10" s="190" customFormat="1">
      <c r="A3" s="112"/>
      <c r="B3" s="115"/>
      <c r="C3" s="358"/>
      <c r="D3" s="359"/>
      <c r="E3" s="359"/>
      <c r="F3" s="360"/>
      <c r="G3" s="188"/>
      <c r="H3" s="188" t="s">
        <v>319</v>
      </c>
      <c r="I3" s="189">
        <f>COUNT(D7:H7)</f>
        <v>2</v>
      </c>
      <c r="J3" s="187"/>
    </row>
    <row r="4" spans="1:10" s="190" customFormat="1">
      <c r="A4" s="112"/>
      <c r="B4" s="115"/>
      <c r="C4" s="361"/>
      <c r="D4" s="362"/>
      <c r="E4" s="362"/>
      <c r="F4" s="363"/>
      <c r="G4" s="188"/>
      <c r="H4" s="188" t="s">
        <v>320</v>
      </c>
      <c r="I4" s="189">
        <f>(I2-1)*(I3-1)</f>
        <v>1</v>
      </c>
      <c r="J4" s="244" t="s">
        <v>321</v>
      </c>
    </row>
    <row r="5" spans="1:10">
      <c r="A5" s="266" t="s">
        <v>0</v>
      </c>
      <c r="B5" s="77"/>
      <c r="C5" s="352" t="s">
        <v>322</v>
      </c>
      <c r="D5" s="353"/>
      <c r="E5" s="353"/>
      <c r="F5" s="353"/>
      <c r="G5" s="353"/>
      <c r="H5" s="353"/>
      <c r="I5" s="354"/>
    </row>
    <row r="6" spans="1:10">
      <c r="A6" s="266"/>
      <c r="B6" s="77"/>
      <c r="C6" s="184"/>
      <c r="D6" s="184" t="s">
        <v>323</v>
      </c>
      <c r="E6" s="184" t="s">
        <v>324</v>
      </c>
      <c r="F6" s="184"/>
      <c r="G6" s="184"/>
      <c r="H6" s="184"/>
      <c r="I6" s="192" t="s">
        <v>97</v>
      </c>
    </row>
    <row r="7" spans="1:10">
      <c r="A7" s="267" t="s">
        <v>255</v>
      </c>
      <c r="C7" s="184" t="s">
        <v>325</v>
      </c>
      <c r="D7" s="185">
        <v>40</v>
      </c>
      <c r="E7" s="185">
        <v>217</v>
      </c>
      <c r="F7" s="185"/>
      <c r="G7" s="185"/>
      <c r="H7" s="185"/>
      <c r="I7" s="192">
        <f>IF(D7="","",SUM(D7:H7))</f>
        <v>257</v>
      </c>
      <c r="J7" s="193" t="s">
        <v>326</v>
      </c>
    </row>
    <row r="8" spans="1:10">
      <c r="A8" s="267"/>
      <c r="C8" s="184" t="s">
        <v>327</v>
      </c>
      <c r="D8" s="185">
        <v>34</v>
      </c>
      <c r="E8" s="185">
        <v>1350</v>
      </c>
      <c r="F8" s="185"/>
      <c r="G8" s="185"/>
      <c r="H8" s="185"/>
      <c r="I8" s="192">
        <f>IF(D8="","",SUM(D8:H8))</f>
        <v>1384</v>
      </c>
      <c r="J8" s="193" t="s">
        <v>326</v>
      </c>
    </row>
    <row r="9" spans="1:10">
      <c r="A9" s="267"/>
      <c r="C9" s="184"/>
      <c r="D9" s="185"/>
      <c r="E9" s="185"/>
      <c r="F9" s="185"/>
      <c r="G9" s="185"/>
      <c r="H9" s="185"/>
      <c r="I9" s="192" t="str">
        <f>IF(D9="","",SUM(D9:H9))</f>
        <v/>
      </c>
      <c r="J9" s="193" t="s">
        <v>326</v>
      </c>
    </row>
    <row r="10" spans="1:10">
      <c r="A10" s="267"/>
      <c r="C10" s="184"/>
      <c r="D10" s="185"/>
      <c r="E10" s="185"/>
      <c r="F10" s="185"/>
      <c r="G10" s="185"/>
      <c r="H10" s="185"/>
      <c r="I10" s="192" t="str">
        <f>IF(D10="","",SUM(D10:H10))</f>
        <v/>
      </c>
      <c r="J10" s="193" t="s">
        <v>326</v>
      </c>
    </row>
    <row r="11" spans="1:10">
      <c r="A11" s="267"/>
      <c r="C11" s="192" t="s">
        <v>97</v>
      </c>
      <c r="D11" s="192">
        <f>IF(D7="","",SUM(D7:D10))</f>
        <v>74</v>
      </c>
      <c r="E11" s="192">
        <f>IF(E7="","",SUM(E7:E10))</f>
        <v>1567</v>
      </c>
      <c r="F11" s="192" t="str">
        <f>IF(F7="","",SUM(F7:F10))</f>
        <v/>
      </c>
      <c r="G11" s="192" t="str">
        <f>IF(G7="","",SUM(G7:G10))</f>
        <v/>
      </c>
      <c r="H11" s="192" t="str">
        <f>IF(H7="","",SUM(H7:H10))</f>
        <v/>
      </c>
      <c r="I11" s="192">
        <f t="shared" ref="I11" si="0">SUM(I7:I10)</f>
        <v>1641</v>
      </c>
    </row>
    <row r="12" spans="1:10">
      <c r="A12" s="267"/>
      <c r="C12" s="349"/>
      <c r="D12" s="350"/>
      <c r="E12" s="350"/>
      <c r="F12" s="350"/>
      <c r="G12" s="350"/>
      <c r="H12" s="350"/>
      <c r="I12" s="351"/>
    </row>
    <row r="13" spans="1:10">
      <c r="A13" s="267"/>
      <c r="C13" s="352" t="s">
        <v>328</v>
      </c>
      <c r="D13" s="353"/>
      <c r="E13" s="353"/>
      <c r="F13" s="353"/>
      <c r="G13" s="353"/>
      <c r="H13" s="353"/>
      <c r="I13" s="354"/>
    </row>
    <row r="14" spans="1:10">
      <c r="C14" s="192" t="str">
        <f t="shared" ref="C14:F14" si="1">IF(C6="","",C$6)</f>
        <v/>
      </c>
      <c r="D14" s="192" t="str">
        <f t="shared" si="1"/>
        <v>Death</v>
      </c>
      <c r="E14" s="192" t="str">
        <f t="shared" si="1"/>
        <v xml:space="preserve">No death </v>
      </c>
      <c r="F14" s="192" t="str">
        <f t="shared" si="1"/>
        <v/>
      </c>
      <c r="G14" s="192" t="str">
        <f>IF(G6="","",G$6)</f>
        <v/>
      </c>
      <c r="H14" s="192" t="str">
        <f>IF(H6="","",H$6)</f>
        <v/>
      </c>
      <c r="I14" s="192" t="s">
        <v>329</v>
      </c>
    </row>
    <row r="15" spans="1:10">
      <c r="A15" s="115"/>
      <c r="C15" s="192" t="str">
        <f t="shared" ref="C15:F15" si="2">IF(C7="","",C$7)</f>
        <v>working</v>
      </c>
      <c r="D15" s="191">
        <f t="shared" si="2"/>
        <v>40</v>
      </c>
      <c r="E15" s="191">
        <f t="shared" si="2"/>
        <v>217</v>
      </c>
      <c r="F15" s="191" t="str">
        <f t="shared" si="2"/>
        <v/>
      </c>
      <c r="G15" s="191" t="str">
        <f>IF(G7="","",G$7)</f>
        <v/>
      </c>
      <c r="H15" s="191" t="str">
        <f>IF(H7="","",H$7)</f>
        <v/>
      </c>
      <c r="I15" s="194">
        <f>IF(D15="","",I7/$I$11)</f>
        <v>0.15661182205971969</v>
      </c>
      <c r="J15" s="193"/>
    </row>
    <row r="16" spans="1:10">
      <c r="C16" s="192" t="str">
        <f>IF(C8="","",C$8)</f>
        <v xml:space="preserve">not working </v>
      </c>
      <c r="D16" s="191">
        <f>IF(D8="","",D$8)</f>
        <v>34</v>
      </c>
      <c r="E16" s="191">
        <f t="shared" ref="E16:H16" si="3">IF(E8="","",E$8)</f>
        <v>1350</v>
      </c>
      <c r="F16" s="191" t="str">
        <f t="shared" si="3"/>
        <v/>
      </c>
      <c r="G16" s="191" t="str">
        <f t="shared" si="3"/>
        <v/>
      </c>
      <c r="H16" s="191" t="str">
        <f t="shared" si="3"/>
        <v/>
      </c>
      <c r="I16" s="194">
        <f>IF(D16="","",I8/$I$11)</f>
        <v>0.84338817794028031</v>
      </c>
      <c r="J16" s="193"/>
    </row>
    <row r="17" spans="3:10">
      <c r="C17" s="192" t="str">
        <f>IF(C9="","",C$9)</f>
        <v/>
      </c>
      <c r="D17" s="192" t="str">
        <f t="shared" ref="D17:H17" si="4">IF(D9="","",D$9)</f>
        <v/>
      </c>
      <c r="E17" s="192" t="str">
        <f t="shared" si="4"/>
        <v/>
      </c>
      <c r="F17" s="192" t="str">
        <f t="shared" si="4"/>
        <v/>
      </c>
      <c r="G17" s="192" t="str">
        <f t="shared" si="4"/>
        <v/>
      </c>
      <c r="H17" s="192" t="str">
        <f t="shared" si="4"/>
        <v/>
      </c>
      <c r="I17" s="194" t="str">
        <f>IF(D17="","",I9/$I$11)</f>
        <v/>
      </c>
      <c r="J17" s="193"/>
    </row>
    <row r="18" spans="3:10">
      <c r="C18" s="192" t="str">
        <f>IF(C10="","",C$10)</f>
        <v/>
      </c>
      <c r="D18" s="192" t="str">
        <f t="shared" ref="D18:H18" si="5">IF(D10="","",D$10)</f>
        <v/>
      </c>
      <c r="E18" s="192" t="str">
        <f t="shared" si="5"/>
        <v/>
      </c>
      <c r="F18" s="192" t="str">
        <f t="shared" si="5"/>
        <v/>
      </c>
      <c r="G18" s="192" t="str">
        <f t="shared" si="5"/>
        <v/>
      </c>
      <c r="H18" s="192" t="str">
        <f t="shared" si="5"/>
        <v/>
      </c>
      <c r="I18" s="194" t="str">
        <f>IF(D18="","",I10/$I$11)</f>
        <v/>
      </c>
      <c r="J18" s="193"/>
    </row>
    <row r="19" spans="3:10">
      <c r="C19" s="192" t="s">
        <v>330</v>
      </c>
      <c r="D19" s="194">
        <f>IF(D15="","",D11/$I$11)</f>
        <v>4.5094454600853137E-2</v>
      </c>
      <c r="E19" s="194">
        <f>IF(E15="","",E11/$I$11)</f>
        <v>0.95490554539914685</v>
      </c>
      <c r="F19" s="194" t="str">
        <f>IF(F15="","",F11/$I$11)</f>
        <v/>
      </c>
      <c r="G19" s="194" t="str">
        <f>IF(G15="","",G11/$I$11)</f>
        <v/>
      </c>
      <c r="H19" s="194" t="str">
        <f>IF(H15="","",H11/$I$11)</f>
        <v/>
      </c>
      <c r="I19" s="194">
        <f>I11/$I11</f>
        <v>1</v>
      </c>
    </row>
    <row r="20" spans="3:10">
      <c r="C20" s="349"/>
      <c r="D20" s="350"/>
      <c r="E20" s="350"/>
      <c r="F20" s="350"/>
      <c r="G20" s="350"/>
      <c r="H20" s="350"/>
      <c r="I20" s="351"/>
    </row>
    <row r="21" spans="3:10">
      <c r="C21" s="352" t="s">
        <v>331</v>
      </c>
      <c r="D21" s="353"/>
      <c r="E21" s="353"/>
      <c r="F21" s="353"/>
      <c r="G21" s="353"/>
      <c r="H21" s="353"/>
      <c r="I21" s="354"/>
    </row>
    <row r="22" spans="3:10">
      <c r="C22" s="192" t="str">
        <f>IF(C6="","",C6)</f>
        <v/>
      </c>
      <c r="D22" s="192" t="str">
        <f t="shared" ref="D22:H22" si="6">IF(D6="","",D6)</f>
        <v>Death</v>
      </c>
      <c r="E22" s="192" t="str">
        <f t="shared" si="6"/>
        <v xml:space="preserve">No death </v>
      </c>
      <c r="F22" s="192" t="str">
        <f t="shared" si="6"/>
        <v/>
      </c>
      <c r="G22" s="192" t="str">
        <f t="shared" si="6"/>
        <v/>
      </c>
      <c r="H22" s="192" t="str">
        <f t="shared" si="6"/>
        <v/>
      </c>
    </row>
    <row r="23" spans="3:10">
      <c r="C23" s="192" t="str">
        <f t="shared" ref="C23:C26" si="7">IF(C7="","",C7)</f>
        <v>working</v>
      </c>
      <c r="D23" s="238">
        <f>IF(D7="","",D$19*$I15)</f>
        <v>7.0623246998289188E-3</v>
      </c>
      <c r="E23" s="238">
        <f>IF(E7="","",E$19*$I15)</f>
        <v>0.14954949735989076</v>
      </c>
      <c r="F23" s="238" t="str">
        <f>IF(F7="","",F$19*$I15)</f>
        <v/>
      </c>
      <c r="G23" s="238" t="str">
        <f>IF(G7="","",G$19*$I15)</f>
        <v/>
      </c>
      <c r="H23" s="238" t="str">
        <f>IF(H7="","",H$19*$I15)</f>
        <v/>
      </c>
      <c r="I23" s="193" t="s">
        <v>332</v>
      </c>
    </row>
    <row r="24" spans="3:10">
      <c r="C24" s="192" t="str">
        <f t="shared" si="7"/>
        <v xml:space="preserve">not working </v>
      </c>
      <c r="D24" s="238">
        <f t="shared" ref="D24:H26" si="8">IF(D8="","",D$19*$I16)</f>
        <v>3.8032129901024218E-2</v>
      </c>
      <c r="E24" s="238">
        <f t="shared" si="8"/>
        <v>0.80535604803925609</v>
      </c>
      <c r="F24" s="238" t="str">
        <f t="shared" si="8"/>
        <v/>
      </c>
      <c r="G24" s="238" t="str">
        <f t="shared" si="8"/>
        <v/>
      </c>
      <c r="H24" s="238" t="str">
        <f t="shared" si="8"/>
        <v/>
      </c>
      <c r="I24" s="193" t="s">
        <v>332</v>
      </c>
    </row>
    <row r="25" spans="3:10">
      <c r="C25" s="192" t="str">
        <f t="shared" si="7"/>
        <v/>
      </c>
      <c r="D25" s="238" t="str">
        <f t="shared" si="8"/>
        <v/>
      </c>
      <c r="E25" s="238" t="str">
        <f t="shared" si="8"/>
        <v/>
      </c>
      <c r="F25" s="238" t="str">
        <f t="shared" si="8"/>
        <v/>
      </c>
      <c r="G25" s="238" t="str">
        <f t="shared" si="8"/>
        <v/>
      </c>
      <c r="H25" s="238" t="str">
        <f t="shared" si="8"/>
        <v/>
      </c>
      <c r="I25" s="193" t="s">
        <v>332</v>
      </c>
    </row>
    <row r="26" spans="3:10">
      <c r="C26" s="192" t="str">
        <f t="shared" si="7"/>
        <v/>
      </c>
      <c r="D26" s="238" t="str">
        <f t="shared" si="8"/>
        <v/>
      </c>
      <c r="E26" s="238" t="str">
        <f t="shared" si="8"/>
        <v/>
      </c>
      <c r="F26" s="238" t="str">
        <f t="shared" si="8"/>
        <v/>
      </c>
      <c r="G26" s="238" t="str">
        <f t="shared" si="8"/>
        <v/>
      </c>
      <c r="H26" s="238" t="str">
        <f t="shared" si="8"/>
        <v/>
      </c>
      <c r="I26" s="193" t="s">
        <v>332</v>
      </c>
    </row>
    <row r="27" spans="3:10">
      <c r="C27" s="349"/>
      <c r="D27" s="350"/>
      <c r="E27" s="350"/>
      <c r="F27" s="350"/>
      <c r="G27" s="350"/>
      <c r="H27" s="350"/>
      <c r="I27" s="351"/>
    </row>
    <row r="28" spans="3:10" ht="50.25" customHeight="1">
      <c r="C28" s="369" t="s">
        <v>333</v>
      </c>
      <c r="D28" s="370"/>
      <c r="E28" s="370"/>
      <c r="F28" s="370"/>
      <c r="G28" s="370"/>
      <c r="H28" s="370"/>
      <c r="I28" s="371"/>
    </row>
    <row r="29" spans="3:10" ht="15.75" thickBot="1">
      <c r="C29" s="243" t="str">
        <f t="shared" ref="C29:H30" si="9">IF(C6="","",C6)</f>
        <v/>
      </c>
      <c r="D29" s="240" t="str">
        <f t="shared" si="9"/>
        <v>Death</v>
      </c>
      <c r="E29" s="240" t="str">
        <f t="shared" si="9"/>
        <v xml:space="preserve">No death </v>
      </c>
      <c r="F29" s="240" t="str">
        <f t="shared" si="9"/>
        <v/>
      </c>
      <c r="G29" s="240" t="str">
        <f t="shared" si="9"/>
        <v/>
      </c>
      <c r="H29" s="240" t="str">
        <f t="shared" si="9"/>
        <v/>
      </c>
      <c r="I29" s="242"/>
    </row>
    <row r="30" spans="3:10">
      <c r="C30" s="364" t="str">
        <f t="shared" si="9"/>
        <v>working</v>
      </c>
      <c r="D30" s="239">
        <f t="shared" si="9"/>
        <v>40</v>
      </c>
      <c r="E30" s="239">
        <f t="shared" si="9"/>
        <v>217</v>
      </c>
      <c r="F30" s="239" t="str">
        <f t="shared" si="9"/>
        <v/>
      </c>
      <c r="G30" s="239" t="str">
        <f t="shared" si="9"/>
        <v/>
      </c>
      <c r="H30" s="239" t="str">
        <f t="shared" si="9"/>
        <v/>
      </c>
      <c r="I30" s="198" t="s">
        <v>334</v>
      </c>
    </row>
    <row r="31" spans="3:10">
      <c r="C31" s="365"/>
      <c r="D31" s="195">
        <f>IF(D23="","",D23*$I$11)</f>
        <v>11.589274832419255</v>
      </c>
      <c r="E31" s="195">
        <f>IF(E23="","",E23*$I$11)</f>
        <v>245.41072516758075</v>
      </c>
      <c r="F31" s="195" t="str">
        <f>IF(F23="","",F23*$I$11)</f>
        <v/>
      </c>
      <c r="G31" s="195" t="str">
        <f>IF(G23="","",G23*$I$11)</f>
        <v/>
      </c>
      <c r="H31" s="195" t="str">
        <f>IF(H23="","",H23*$I$11)</f>
        <v/>
      </c>
      <c r="I31" s="196" t="s">
        <v>335</v>
      </c>
      <c r="J31" s="259"/>
    </row>
    <row r="32" spans="3:10">
      <c r="C32" s="365"/>
      <c r="D32" s="197">
        <f>IF(D30="","",D30-D31)</f>
        <v>28.410725167580743</v>
      </c>
      <c r="E32" s="197">
        <f t="shared" ref="E32:H32" si="10">IF(E30="","",E30-E31)</f>
        <v>-28.41072516758075</v>
      </c>
      <c r="F32" s="197" t="str">
        <f t="shared" si="10"/>
        <v/>
      </c>
      <c r="G32" s="197" t="str">
        <f t="shared" si="10"/>
        <v/>
      </c>
      <c r="H32" s="197" t="str">
        <f t="shared" si="10"/>
        <v/>
      </c>
      <c r="I32" s="198" t="s">
        <v>336</v>
      </c>
    </row>
    <row r="33" spans="1:9" ht="18" thickBot="1">
      <c r="C33" s="366"/>
      <c r="D33" s="241">
        <f>IF(D31="","",D32^2/D31)</f>
        <v>69.64795608176199</v>
      </c>
      <c r="E33" s="241">
        <f>IF(E31="","",E32^2/E31)</f>
        <v>3.2890547224316462</v>
      </c>
      <c r="F33" s="241" t="str">
        <f>IF(F31="","",F32^2/F31)</f>
        <v/>
      </c>
      <c r="G33" s="241" t="str">
        <f>IF(G31="","",G32^2/G31)</f>
        <v/>
      </c>
      <c r="H33" s="241" t="str">
        <f>IF(H31="","",H32^2/H31)</f>
        <v/>
      </c>
      <c r="I33" s="187" t="s">
        <v>337</v>
      </c>
    </row>
    <row r="34" spans="1:9">
      <c r="C34" s="364" t="str">
        <f t="shared" ref="C34:H34" si="11">IF(C8="","",C$8)</f>
        <v xml:space="preserve">not working </v>
      </c>
      <c r="D34" s="239">
        <f t="shared" si="11"/>
        <v>34</v>
      </c>
      <c r="E34" s="239">
        <f t="shared" si="11"/>
        <v>1350</v>
      </c>
      <c r="F34" s="239" t="str">
        <f t="shared" si="11"/>
        <v/>
      </c>
      <c r="G34" s="239" t="str">
        <f t="shared" si="11"/>
        <v/>
      </c>
      <c r="H34" s="239" t="str">
        <f t="shared" si="11"/>
        <v/>
      </c>
      <c r="I34" s="198" t="s">
        <v>334</v>
      </c>
    </row>
    <row r="35" spans="1:9">
      <c r="C35" s="365"/>
      <c r="D35" s="195">
        <f>IF(D24="","",D24*$I$11)</f>
        <v>62.410725167580743</v>
      </c>
      <c r="E35" s="195">
        <f>IF(E24="","",E24*$I$11)</f>
        <v>1321.5892748324193</v>
      </c>
      <c r="F35" s="195" t="str">
        <f>IF(F24="","",F24*$I$11)</f>
        <v/>
      </c>
      <c r="G35" s="195" t="str">
        <f>IF(G24="","",G24*$I$11)</f>
        <v/>
      </c>
      <c r="H35" s="195" t="str">
        <f>IF(H24="","",H24*$I$11)</f>
        <v/>
      </c>
      <c r="I35" s="196" t="s">
        <v>335</v>
      </c>
    </row>
    <row r="36" spans="1:9">
      <c r="C36" s="365"/>
      <c r="D36" s="197">
        <f>IF(D34="","",D34-D35)</f>
        <v>-28.410725167580743</v>
      </c>
      <c r="E36" s="197">
        <f>IF(E34="","",E34-E35)</f>
        <v>28.410725167580722</v>
      </c>
      <c r="F36" s="197" t="str">
        <f>IF(F34="","",F34-F35)</f>
        <v/>
      </c>
      <c r="G36" s="197" t="str">
        <f>IF(G34="","",G34-G35)</f>
        <v/>
      </c>
      <c r="H36" s="197" t="str">
        <f>IF(H34="","",H34-H35)</f>
        <v/>
      </c>
      <c r="I36" s="198" t="s">
        <v>336</v>
      </c>
    </row>
    <row r="37" spans="1:9" ht="18" thickBot="1">
      <c r="C37" s="366"/>
      <c r="D37" s="241">
        <f>IF(D35="","",D36^2/D35)</f>
        <v>12.933182596107535</v>
      </c>
      <c r="E37" s="241">
        <f>IF(E35="","",E36^2/E35)</f>
        <v>0.6107565488908463</v>
      </c>
      <c r="F37" s="241" t="str">
        <f>IF(F35="","",F36^2/F35)</f>
        <v/>
      </c>
      <c r="G37" s="241" t="str">
        <f>IF(G35="","",G36^2/G35)</f>
        <v/>
      </c>
      <c r="H37" s="241" t="str">
        <f>IF(H35="","",H36^2/H35)</f>
        <v/>
      </c>
      <c r="I37" s="187" t="s">
        <v>337</v>
      </c>
    </row>
    <row r="38" spans="1:9">
      <c r="C38" s="364" t="str">
        <f t="shared" ref="C38:H38" si="12">IF(C9="","",C$9)</f>
        <v/>
      </c>
      <c r="D38" s="239" t="str">
        <f t="shared" si="12"/>
        <v/>
      </c>
      <c r="E38" s="239" t="str">
        <f t="shared" si="12"/>
        <v/>
      </c>
      <c r="F38" s="239" t="str">
        <f t="shared" si="12"/>
        <v/>
      </c>
      <c r="G38" s="239" t="str">
        <f t="shared" si="12"/>
        <v/>
      </c>
      <c r="H38" s="239" t="str">
        <f t="shared" si="12"/>
        <v/>
      </c>
      <c r="I38" s="198" t="s">
        <v>334</v>
      </c>
    </row>
    <row r="39" spans="1:9">
      <c r="C39" s="365"/>
      <c r="D39" s="195" t="str">
        <f>IF(D25="","",D25*$I$11)</f>
        <v/>
      </c>
      <c r="E39" s="195" t="str">
        <f>IF(E25="","",E25*$I$11)</f>
        <v/>
      </c>
      <c r="F39" s="195" t="str">
        <f>IF(F25="","",F25*$I$11)</f>
        <v/>
      </c>
      <c r="G39" s="195" t="str">
        <f>IF(G25="","",G25*$I$11)</f>
        <v/>
      </c>
      <c r="H39" s="195" t="str">
        <f>IF(H25="","",H25*$I$11)</f>
        <v/>
      </c>
      <c r="I39" s="196" t="s">
        <v>335</v>
      </c>
    </row>
    <row r="40" spans="1:9">
      <c r="C40" s="365"/>
      <c r="D40" s="197" t="str">
        <f>IF(D38="","",D38-D39)</f>
        <v/>
      </c>
      <c r="E40" s="197" t="str">
        <f t="shared" ref="E40:H40" si="13">IF(E38="","",E38-E39)</f>
        <v/>
      </c>
      <c r="F40" s="197" t="str">
        <f t="shared" si="13"/>
        <v/>
      </c>
      <c r="G40" s="197" t="str">
        <f t="shared" si="13"/>
        <v/>
      </c>
      <c r="H40" s="197" t="str">
        <f t="shared" si="13"/>
        <v/>
      </c>
      <c r="I40" s="198" t="s">
        <v>336</v>
      </c>
    </row>
    <row r="41" spans="1:9" ht="18" thickBot="1">
      <c r="C41" s="366"/>
      <c r="D41" s="241" t="str">
        <f>IF(D39="","",D40^2/D39)</f>
        <v/>
      </c>
      <c r="E41" s="241" t="str">
        <f>IF(E39="","",E40^2/E39)</f>
        <v/>
      </c>
      <c r="F41" s="241" t="str">
        <f>IF(F39="","",F40^2/F39)</f>
        <v/>
      </c>
      <c r="G41" s="241" t="str">
        <f>IF(G39="","",G40^2/G39)</f>
        <v/>
      </c>
      <c r="H41" s="241" t="str">
        <f>IF(H39="","",H40^2/H39)</f>
        <v/>
      </c>
      <c r="I41" s="187" t="s">
        <v>337</v>
      </c>
    </row>
    <row r="42" spans="1:9">
      <c r="C42" s="364" t="str">
        <f t="shared" ref="C42:H42" si="14">IF(C10="","",C$10)</f>
        <v/>
      </c>
      <c r="D42" s="239" t="str">
        <f t="shared" si="14"/>
        <v/>
      </c>
      <c r="E42" s="239" t="str">
        <f t="shared" si="14"/>
        <v/>
      </c>
      <c r="F42" s="239" t="str">
        <f t="shared" si="14"/>
        <v/>
      </c>
      <c r="G42" s="239" t="str">
        <f t="shared" si="14"/>
        <v/>
      </c>
      <c r="H42" s="239" t="str">
        <f t="shared" si="14"/>
        <v/>
      </c>
      <c r="I42" s="198" t="s">
        <v>334</v>
      </c>
    </row>
    <row r="43" spans="1:9">
      <c r="C43" s="365"/>
      <c r="D43" s="195" t="str">
        <f>IF(D26="","",D26*$I$11)</f>
        <v/>
      </c>
      <c r="E43" s="195" t="str">
        <f>IF(E26="","",E26*$I$11)</f>
        <v/>
      </c>
      <c r="F43" s="195" t="str">
        <f>IF(F26="","",F26*$I$11)</f>
        <v/>
      </c>
      <c r="G43" s="195" t="str">
        <f>IF(G26="","",G26*$I$11)</f>
        <v/>
      </c>
      <c r="H43" s="195" t="str">
        <f>IF(H26="","",H26*$I$11)</f>
        <v/>
      </c>
      <c r="I43" s="196" t="s">
        <v>335</v>
      </c>
    </row>
    <row r="44" spans="1:9">
      <c r="C44" s="365"/>
      <c r="D44" s="197" t="str">
        <f>IF(D42="","",D42-D43)</f>
        <v/>
      </c>
      <c r="E44" s="197" t="str">
        <f t="shared" ref="E44:H44" si="15">IF(E42="","",E42-E43)</f>
        <v/>
      </c>
      <c r="F44" s="197" t="str">
        <f t="shared" si="15"/>
        <v/>
      </c>
      <c r="G44" s="197" t="str">
        <f t="shared" si="15"/>
        <v/>
      </c>
      <c r="H44" s="197" t="str">
        <f t="shared" si="15"/>
        <v/>
      </c>
      <c r="I44" s="198" t="s">
        <v>336</v>
      </c>
    </row>
    <row r="45" spans="1:9" ht="18" thickBot="1">
      <c r="C45" s="366"/>
      <c r="D45" s="241" t="str">
        <f>IF(D43="","",D44^2/D43)</f>
        <v/>
      </c>
      <c r="E45" s="241" t="str">
        <f t="shared" ref="E45:H45" si="16">IF(E43="","",E44^2/E43)</f>
        <v/>
      </c>
      <c r="F45" s="241" t="str">
        <f t="shared" si="16"/>
        <v/>
      </c>
      <c r="G45" s="241" t="str">
        <f t="shared" si="16"/>
        <v/>
      </c>
      <c r="H45" s="241" t="str">
        <f t="shared" si="16"/>
        <v/>
      </c>
      <c r="I45" s="187" t="s">
        <v>337</v>
      </c>
    </row>
    <row r="46" spans="1:9" s="249" customFormat="1" ht="16.5" thickBot="1">
      <c r="A46" s="112"/>
      <c r="B46" s="245"/>
      <c r="C46" s="252" t="s">
        <v>338</v>
      </c>
      <c r="D46" s="251" t="s">
        <v>339</v>
      </c>
      <c r="E46" s="250">
        <f>SUM(D33:H33)+SUM(D37:H37)+SUM(D41:H41)+SUM(D45:H45)</f>
        <v>86.480949949192009</v>
      </c>
      <c r="F46" s="367" t="s">
        <v>340</v>
      </c>
      <c r="G46" s="368"/>
      <c r="H46" s="247">
        <f>_xlfn.CHISQ.DIST.RT(E46,I4)</f>
        <v>1.4108986534997488E-20</v>
      </c>
      <c r="I46" s="248"/>
    </row>
    <row r="47" spans="1:9" s="190" customFormat="1">
      <c r="A47" s="112"/>
      <c r="B47" s="115"/>
      <c r="C47" s="246"/>
      <c r="D47" s="246"/>
      <c r="E47" s="246"/>
      <c r="F47" s="246"/>
      <c r="G47" s="246"/>
      <c r="H47" s="246"/>
    </row>
  </sheetData>
  <sheetProtection sheet="1" selectLockedCells="1"/>
  <mergeCells count="16">
    <mergeCell ref="A5:A6"/>
    <mergeCell ref="A7:A13"/>
    <mergeCell ref="C2:F4"/>
    <mergeCell ref="C30:C33"/>
    <mergeCell ref="F46:G46"/>
    <mergeCell ref="C34:C37"/>
    <mergeCell ref="C38:C41"/>
    <mergeCell ref="C42:C45"/>
    <mergeCell ref="C27:I27"/>
    <mergeCell ref="C28:I28"/>
    <mergeCell ref="C1:I1"/>
    <mergeCell ref="C5:I5"/>
    <mergeCell ref="C13:I13"/>
    <mergeCell ref="C21:I21"/>
    <mergeCell ref="C20:I20"/>
    <mergeCell ref="C12:I12"/>
  </mergeCells>
  <pageMargins left="0.75" right="0.75" top="1" bottom="1" header="0.5" footer="0.5"/>
  <pageSetup orientation="portrait" horizontalDpi="0" verticalDpi="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"/>
  <dimension ref="A1:P101"/>
  <sheetViews>
    <sheetView zoomScaleNormal="100" workbookViewId="0">
      <selection activeCell="D4" sqref="D4"/>
    </sheetView>
  </sheetViews>
  <sheetFormatPr defaultColWidth="9.140625" defaultRowHeight="15"/>
  <cols>
    <col min="1" max="1" width="17.7109375" style="147" customWidth="1"/>
    <col min="2" max="2" width="1.7109375" style="3" customWidth="1"/>
    <col min="3" max="3" width="10" style="46" bestFit="1" customWidth="1"/>
    <col min="4" max="4" width="12.42578125" style="47" customWidth="1"/>
    <col min="5" max="5" width="10.42578125" style="48" bestFit="1" customWidth="1"/>
    <col min="6" max="6" width="10.85546875" style="61" customWidth="1"/>
    <col min="7" max="7" width="7.5703125" style="3" bestFit="1" customWidth="1"/>
    <col min="8" max="8" width="8.7109375" style="61" bestFit="1" customWidth="1"/>
    <col min="9" max="9" width="10" style="61" customWidth="1"/>
    <col min="10" max="10" width="19.85546875" style="207" customWidth="1"/>
    <col min="11" max="11" width="8.85546875" style="3" customWidth="1"/>
    <col min="12" max="12" width="9.140625" style="11"/>
    <col min="13" max="16" width="9.140625" style="10"/>
    <col min="17" max="16384" width="9.140625" style="3"/>
  </cols>
  <sheetData>
    <row r="1" spans="1:16" s="2" customFormat="1" ht="30">
      <c r="A1" s="199" t="s">
        <v>341</v>
      </c>
      <c r="C1" s="200" t="s">
        <v>342</v>
      </c>
      <c r="D1" s="201" t="s">
        <v>343</v>
      </c>
      <c r="E1" s="200" t="s">
        <v>344</v>
      </c>
      <c r="F1" s="60" t="s">
        <v>345</v>
      </c>
      <c r="G1" s="2" t="s">
        <v>346</v>
      </c>
      <c r="H1" s="60" t="s">
        <v>347</v>
      </c>
      <c r="I1" s="60" t="s">
        <v>348</v>
      </c>
      <c r="J1" s="4" t="s">
        <v>349</v>
      </c>
      <c r="L1" s="6" t="s">
        <v>290</v>
      </c>
      <c r="M1" s="7">
        <v>0.1</v>
      </c>
      <c r="N1" s="7">
        <v>0.05</v>
      </c>
      <c r="O1" s="7">
        <v>0.02</v>
      </c>
      <c r="P1" s="7">
        <v>0.01</v>
      </c>
    </row>
    <row r="2" spans="1:16" s="202" customFormat="1" ht="18">
      <c r="A2" s="372" t="s">
        <v>0</v>
      </c>
      <c r="C2" s="46">
        <v>1</v>
      </c>
      <c r="D2" s="47">
        <v>0.16666666666666666</v>
      </c>
      <c r="E2" s="48">
        <v>78</v>
      </c>
      <c r="F2" s="61">
        <f t="shared" ref="F2:F10" si="0">IF(ISBLANK(E2),"",(D2*G$2))</f>
        <v>83.333333333333329</v>
      </c>
      <c r="G2" s="82">
        <f>SUM(E:E)</f>
        <v>500</v>
      </c>
      <c r="H2" s="61">
        <f t="shared" ref="H2:H7" si="1">IF(ISBLANK(E2),"",E2-F2)</f>
        <v>-5.3333333333333286</v>
      </c>
      <c r="I2" s="61">
        <f t="shared" ref="I2:I7" si="2">IF(ISBLANK(E2),"",(H2^2/F2))</f>
        <v>0.34133333333333271</v>
      </c>
      <c r="J2" s="203" t="s">
        <v>350</v>
      </c>
      <c r="K2" s="62">
        <f>SUM(I:I)</f>
        <v>139.16233598351178</v>
      </c>
      <c r="L2" s="6">
        <v>1</v>
      </c>
      <c r="M2" s="8">
        <v>2.706</v>
      </c>
      <c r="N2" s="8">
        <v>3.8410000000000002</v>
      </c>
      <c r="O2" s="8">
        <v>5.4119999999999999</v>
      </c>
      <c r="P2" s="8">
        <v>6.6349999999999998</v>
      </c>
    </row>
    <row r="3" spans="1:16" s="202" customFormat="1">
      <c r="A3" s="372"/>
      <c r="C3" s="46">
        <v>2</v>
      </c>
      <c r="D3" s="47">
        <v>0.16666666666666666</v>
      </c>
      <c r="E3" s="48">
        <v>87</v>
      </c>
      <c r="F3" s="61">
        <f t="shared" si="0"/>
        <v>83.333333333333329</v>
      </c>
      <c r="G3" s="3"/>
      <c r="H3" s="61">
        <f t="shared" si="1"/>
        <v>3.6666666666666714</v>
      </c>
      <c r="I3" s="61">
        <f t="shared" si="2"/>
        <v>0.16133333333333374</v>
      </c>
      <c r="J3" s="204" t="s">
        <v>3</v>
      </c>
      <c r="K3" s="63">
        <f>COUNT(E:E)</f>
        <v>6</v>
      </c>
      <c r="L3" s="6">
        <v>2</v>
      </c>
      <c r="M3" s="8">
        <v>4.6050000000000004</v>
      </c>
      <c r="N3" s="8">
        <v>5.9909999999999997</v>
      </c>
      <c r="O3" s="8">
        <v>7.8239999999999998</v>
      </c>
      <c r="P3" s="8">
        <v>9.2100000000000009</v>
      </c>
    </row>
    <row r="4" spans="1:16">
      <c r="C4" s="46">
        <v>3</v>
      </c>
      <c r="D4" s="47">
        <v>0.16669999999999999</v>
      </c>
      <c r="E4" s="48">
        <v>87</v>
      </c>
      <c r="F4" s="61">
        <f t="shared" si="0"/>
        <v>83.35</v>
      </c>
      <c r="H4" s="61">
        <f t="shared" si="1"/>
        <v>3.6500000000000057</v>
      </c>
      <c r="I4" s="61">
        <f t="shared" si="2"/>
        <v>0.15983803239352179</v>
      </c>
      <c r="J4" s="144" t="s">
        <v>290</v>
      </c>
      <c r="K4" s="63">
        <f>K3-1</f>
        <v>5</v>
      </c>
      <c r="L4" s="6">
        <v>3</v>
      </c>
      <c r="M4" s="8">
        <v>6.2510000000000003</v>
      </c>
      <c r="N4" s="8">
        <v>7.8150000000000004</v>
      </c>
      <c r="O4" s="8">
        <v>9.8369999999999997</v>
      </c>
      <c r="P4" s="8">
        <v>11.345000000000001</v>
      </c>
    </row>
    <row r="5" spans="1:16" ht="15.75">
      <c r="C5" s="46">
        <v>4</v>
      </c>
      <c r="D5" s="47">
        <v>0.16669999999999999</v>
      </c>
      <c r="E5" s="48">
        <v>76</v>
      </c>
      <c r="F5" s="61">
        <f t="shared" si="0"/>
        <v>83.35</v>
      </c>
      <c r="H5" s="61">
        <f t="shared" si="1"/>
        <v>-7.3499999999999943</v>
      </c>
      <c r="I5" s="61">
        <f t="shared" si="2"/>
        <v>0.64814037192561391</v>
      </c>
      <c r="J5" s="203" t="s">
        <v>351</v>
      </c>
      <c r="K5" s="64">
        <f>_xlfn.CHISQ.DIST.RT(K2,K4)</f>
        <v>2.6959528846801878E-28</v>
      </c>
      <c r="L5" s="6">
        <v>4</v>
      </c>
      <c r="M5" s="8">
        <v>7.7789999999999999</v>
      </c>
      <c r="N5" s="8">
        <v>9.4879999999999995</v>
      </c>
      <c r="O5" s="8">
        <v>11.667999999999999</v>
      </c>
      <c r="P5" s="8">
        <v>13.276999999999999</v>
      </c>
    </row>
    <row r="6" spans="1:16">
      <c r="A6" s="3"/>
      <c r="C6" s="46">
        <v>5</v>
      </c>
      <c r="D6" s="47">
        <v>7.9000000000000001E-2</v>
      </c>
      <c r="E6" s="48">
        <v>85</v>
      </c>
      <c r="F6" s="61">
        <f t="shared" si="0"/>
        <v>39.5</v>
      </c>
      <c r="H6" s="61">
        <f t="shared" si="1"/>
        <v>45.5</v>
      </c>
      <c r="I6" s="61">
        <f t="shared" si="2"/>
        <v>52.411392405063289</v>
      </c>
      <c r="J6" s="113" t="s">
        <v>225</v>
      </c>
      <c r="K6" s="63">
        <v>0.05</v>
      </c>
      <c r="L6" s="6">
        <v>5</v>
      </c>
      <c r="M6" s="8">
        <v>9.2360000000000007</v>
      </c>
      <c r="N6" s="8">
        <v>11.07</v>
      </c>
      <c r="O6" s="8">
        <v>13.388</v>
      </c>
      <c r="P6" s="8">
        <v>15.086</v>
      </c>
    </row>
    <row r="7" spans="1:16" ht="60">
      <c r="A7" s="205" t="s">
        <v>6</v>
      </c>
      <c r="C7" s="46">
        <v>6</v>
      </c>
      <c r="D7" s="47">
        <v>6.7000000000000004E-2</v>
      </c>
      <c r="E7" s="48">
        <v>87</v>
      </c>
      <c r="F7" s="61">
        <f t="shared" si="0"/>
        <v>33.5</v>
      </c>
      <c r="H7" s="61">
        <f t="shared" si="1"/>
        <v>53.5</v>
      </c>
      <c r="I7" s="61">
        <f t="shared" si="2"/>
        <v>85.440298507462686</v>
      </c>
      <c r="J7" s="118" t="s">
        <v>352</v>
      </c>
      <c r="K7" s="37">
        <f>_xlfn.CHISQ.INV.RT(K6,K4)</f>
        <v>11.070497693516353</v>
      </c>
      <c r="L7" s="6">
        <v>6</v>
      </c>
      <c r="M7" s="8">
        <v>10.645</v>
      </c>
      <c r="N7" s="8">
        <v>12.592000000000001</v>
      </c>
      <c r="O7" s="8">
        <v>15.032999999999999</v>
      </c>
      <c r="P7" s="8">
        <v>16.812000000000001</v>
      </c>
    </row>
    <row r="8" spans="1:16" ht="30">
      <c r="F8" s="61" t="str">
        <f t="shared" si="0"/>
        <v/>
      </c>
      <c r="H8" s="61" t="str">
        <f>IF(ISBLANK(E8),"",E8-F8)</f>
        <v/>
      </c>
      <c r="I8" s="61" t="str">
        <f>IF(ISBLANK(E8),"",(H8^2/F8))</f>
        <v/>
      </c>
      <c r="J8" s="206" t="s">
        <v>353</v>
      </c>
      <c r="K8" s="5">
        <f>VLOOKUP(K4,L:P,3,TRUE)</f>
        <v>11.07</v>
      </c>
      <c r="L8" s="6">
        <v>7</v>
      </c>
      <c r="M8" s="8">
        <v>12.016999999999999</v>
      </c>
      <c r="N8" s="8">
        <v>14.067</v>
      </c>
      <c r="O8" s="8">
        <v>16.622</v>
      </c>
      <c r="P8" s="8">
        <v>18.475000000000001</v>
      </c>
    </row>
    <row r="9" spans="1:16" ht="15" customHeight="1">
      <c r="F9" s="61" t="str">
        <f t="shared" si="0"/>
        <v/>
      </c>
      <c r="H9" s="61" t="str">
        <f>IF(ISBLANK(E9),"",E9-F9)</f>
        <v/>
      </c>
      <c r="I9" s="61" t="str">
        <f>IF(ISBLANK(E9),"",(H9^2/F9))</f>
        <v/>
      </c>
      <c r="J9" s="373" t="s">
        <v>354</v>
      </c>
      <c r="L9" s="6">
        <v>8</v>
      </c>
      <c r="M9" s="8">
        <v>13.362</v>
      </c>
      <c r="N9" s="8">
        <v>15.507</v>
      </c>
      <c r="O9" s="8">
        <v>18.167999999999999</v>
      </c>
      <c r="P9" s="8">
        <v>20.09</v>
      </c>
    </row>
    <row r="10" spans="1:16">
      <c r="F10" s="61" t="str">
        <f t="shared" si="0"/>
        <v/>
      </c>
      <c r="H10" s="61" t="str">
        <f>IF(ISBLANK(E10),"",E10-F10)</f>
        <v/>
      </c>
      <c r="I10" s="61" t="str">
        <f>IF(ISBLANK(E10),"",(H10^2/F10))</f>
        <v/>
      </c>
      <c r="J10" s="374"/>
      <c r="L10" s="6">
        <v>9</v>
      </c>
      <c r="M10" s="8">
        <v>14.683999999999999</v>
      </c>
      <c r="N10" s="8">
        <v>16.919</v>
      </c>
      <c r="O10" s="8">
        <v>19.678999999999998</v>
      </c>
      <c r="P10" s="8">
        <v>21.666</v>
      </c>
    </row>
    <row r="11" spans="1:16">
      <c r="F11" s="61" t="str">
        <f t="shared" ref="F11:F74" si="3">IF(ISBLANK(E11),"",(D11*G$2))</f>
        <v/>
      </c>
      <c r="H11" s="61" t="str">
        <f t="shared" ref="H11:H74" si="4">IF(ISBLANK(E11),"",E11-F11)</f>
        <v/>
      </c>
      <c r="I11" s="61" t="str">
        <f t="shared" ref="I11:I74" si="5">IF(ISBLANK(E11),"",(H11^2/F11))</f>
        <v/>
      </c>
      <c r="J11" s="375"/>
      <c r="L11" s="6">
        <v>10</v>
      </c>
      <c r="M11" s="8">
        <v>15.987</v>
      </c>
      <c r="N11" s="8">
        <v>18.306999999999999</v>
      </c>
      <c r="O11" s="8">
        <v>21.161000000000001</v>
      </c>
      <c r="P11" s="8">
        <v>23.209</v>
      </c>
    </row>
    <row r="12" spans="1:16" ht="15" customHeight="1">
      <c r="A12" s="115" t="s">
        <v>20</v>
      </c>
      <c r="F12" s="61" t="str">
        <f t="shared" si="3"/>
        <v/>
      </c>
      <c r="H12" s="61" t="str">
        <f t="shared" si="4"/>
        <v/>
      </c>
      <c r="I12" s="61" t="str">
        <f t="shared" si="5"/>
        <v/>
      </c>
      <c r="J12" s="376" t="s">
        <v>355</v>
      </c>
      <c r="L12" s="6">
        <v>11</v>
      </c>
      <c r="M12" s="8">
        <v>17.274999999999999</v>
      </c>
      <c r="N12" s="8">
        <v>19.675000000000001</v>
      </c>
      <c r="O12" s="8">
        <v>22.617999999999999</v>
      </c>
      <c r="P12" s="8">
        <v>24.725000000000001</v>
      </c>
    </row>
    <row r="13" spans="1:16">
      <c r="A13" s="3"/>
      <c r="F13" s="61" t="str">
        <f t="shared" si="3"/>
        <v/>
      </c>
      <c r="H13" s="61" t="str">
        <f t="shared" si="4"/>
        <v/>
      </c>
      <c r="I13" s="61" t="str">
        <f t="shared" si="5"/>
        <v/>
      </c>
      <c r="J13" s="377"/>
      <c r="L13" s="6">
        <v>12</v>
      </c>
      <c r="M13" s="8">
        <v>18.548999999999999</v>
      </c>
      <c r="N13" s="8">
        <v>21.026</v>
      </c>
      <c r="O13" s="8">
        <v>24.053999999999998</v>
      </c>
      <c r="P13" s="8">
        <v>26.216999999999999</v>
      </c>
    </row>
    <row r="14" spans="1:16">
      <c r="F14" s="61" t="str">
        <f t="shared" si="3"/>
        <v/>
      </c>
      <c r="H14" s="61" t="str">
        <f t="shared" si="4"/>
        <v/>
      </c>
      <c r="I14" s="61" t="str">
        <f t="shared" si="5"/>
        <v/>
      </c>
      <c r="J14" s="377"/>
      <c r="L14" s="6">
        <v>13</v>
      </c>
      <c r="M14" s="8">
        <v>19.812000000000001</v>
      </c>
      <c r="N14" s="8">
        <v>22.361999999999998</v>
      </c>
      <c r="O14" s="8">
        <v>25.472000000000001</v>
      </c>
      <c r="P14" s="8">
        <v>27.687999999999999</v>
      </c>
    </row>
    <row r="15" spans="1:16">
      <c r="F15" s="61" t="str">
        <f t="shared" si="3"/>
        <v/>
      </c>
      <c r="H15" s="61" t="str">
        <f t="shared" si="4"/>
        <v/>
      </c>
      <c r="I15" s="61" t="str">
        <f t="shared" si="5"/>
        <v/>
      </c>
      <c r="J15" s="377"/>
      <c r="L15" s="6">
        <v>14</v>
      </c>
      <c r="M15" s="8">
        <v>21.064</v>
      </c>
      <c r="N15" s="8">
        <v>23.684999999999999</v>
      </c>
      <c r="O15" s="8">
        <v>26.873000000000001</v>
      </c>
      <c r="P15" s="8">
        <v>29.140999999999998</v>
      </c>
    </row>
    <row r="16" spans="1:16">
      <c r="F16" s="61" t="str">
        <f t="shared" si="3"/>
        <v/>
      </c>
      <c r="H16" s="61" t="str">
        <f t="shared" si="4"/>
        <v/>
      </c>
      <c r="I16" s="61" t="str">
        <f t="shared" si="5"/>
        <v/>
      </c>
      <c r="J16" s="377"/>
      <c r="L16" s="6">
        <v>15</v>
      </c>
      <c r="M16" s="8">
        <v>22.306999999999999</v>
      </c>
      <c r="N16" s="8">
        <v>24.995999999999999</v>
      </c>
      <c r="O16" s="8">
        <v>28.259</v>
      </c>
      <c r="P16" s="8">
        <v>30.577999999999999</v>
      </c>
    </row>
    <row r="17" spans="6:16">
      <c r="F17" s="61" t="str">
        <f t="shared" si="3"/>
        <v/>
      </c>
      <c r="H17" s="61" t="str">
        <f t="shared" si="4"/>
        <v/>
      </c>
      <c r="I17" s="61" t="str">
        <f t="shared" si="5"/>
        <v/>
      </c>
      <c r="J17" s="378" t="s">
        <v>356</v>
      </c>
      <c r="L17" s="6">
        <v>16</v>
      </c>
      <c r="M17" s="8">
        <v>23.542000000000002</v>
      </c>
      <c r="N17" s="8">
        <v>26.295999999999999</v>
      </c>
      <c r="O17" s="8">
        <v>29.632999999999999</v>
      </c>
      <c r="P17" s="8">
        <v>32</v>
      </c>
    </row>
    <row r="18" spans="6:16">
      <c r="F18" s="61" t="str">
        <f t="shared" si="3"/>
        <v/>
      </c>
      <c r="H18" s="61" t="str">
        <f t="shared" si="4"/>
        <v/>
      </c>
      <c r="I18" s="61" t="str">
        <f t="shared" si="5"/>
        <v/>
      </c>
      <c r="J18" s="379"/>
      <c r="L18" s="6">
        <v>17</v>
      </c>
      <c r="M18" s="8">
        <v>24.768999999999998</v>
      </c>
      <c r="N18" s="8">
        <v>27.587</v>
      </c>
      <c r="O18" s="8">
        <v>30.995000000000001</v>
      </c>
      <c r="P18" s="8">
        <v>33.408999999999999</v>
      </c>
    </row>
    <row r="19" spans="6:16">
      <c r="F19" s="61" t="str">
        <f t="shared" si="3"/>
        <v/>
      </c>
      <c r="H19" s="61" t="str">
        <f t="shared" si="4"/>
        <v/>
      </c>
      <c r="I19" s="61" t="str">
        <f t="shared" si="5"/>
        <v/>
      </c>
      <c r="J19" s="379"/>
      <c r="L19" s="6">
        <v>18</v>
      </c>
      <c r="M19" s="8">
        <v>25.989000000000001</v>
      </c>
      <c r="N19" s="8">
        <v>28.869</v>
      </c>
      <c r="O19" s="8">
        <v>32.345999999999997</v>
      </c>
      <c r="P19" s="8">
        <v>34.805</v>
      </c>
    </row>
    <row r="20" spans="6:16">
      <c r="F20" s="61" t="str">
        <f t="shared" si="3"/>
        <v/>
      </c>
      <c r="H20" s="61" t="str">
        <f t="shared" si="4"/>
        <v/>
      </c>
      <c r="I20" s="61" t="str">
        <f t="shared" si="5"/>
        <v/>
      </c>
      <c r="L20" s="6">
        <v>19</v>
      </c>
      <c r="M20" s="8">
        <v>27.204000000000001</v>
      </c>
      <c r="N20" s="8">
        <v>30.143999999999998</v>
      </c>
      <c r="O20" s="8">
        <v>33.686999999999998</v>
      </c>
      <c r="P20" s="8">
        <v>36.191000000000003</v>
      </c>
    </row>
    <row r="21" spans="6:16">
      <c r="F21" s="61" t="str">
        <f t="shared" si="3"/>
        <v/>
      </c>
      <c r="H21" s="61" t="str">
        <f t="shared" si="4"/>
        <v/>
      </c>
      <c r="I21" s="61" t="str">
        <f t="shared" si="5"/>
        <v/>
      </c>
      <c r="L21" s="6">
        <v>20</v>
      </c>
      <c r="M21" s="8">
        <v>28.411999999999999</v>
      </c>
      <c r="N21" s="8">
        <v>31.41</v>
      </c>
      <c r="O21" s="8">
        <v>35.020000000000003</v>
      </c>
      <c r="P21" s="8">
        <v>37.566000000000003</v>
      </c>
    </row>
    <row r="22" spans="6:16">
      <c r="F22" s="61" t="str">
        <f t="shared" si="3"/>
        <v/>
      </c>
      <c r="H22" s="61" t="str">
        <f t="shared" si="4"/>
        <v/>
      </c>
      <c r="I22" s="61" t="str">
        <f t="shared" si="5"/>
        <v/>
      </c>
      <c r="L22" s="6">
        <v>21</v>
      </c>
      <c r="M22" s="8">
        <v>29.614999999999998</v>
      </c>
      <c r="N22" s="8">
        <v>32.670999999999999</v>
      </c>
      <c r="O22" s="8">
        <v>36.343000000000004</v>
      </c>
      <c r="P22" s="8">
        <v>38.932000000000002</v>
      </c>
    </row>
    <row r="23" spans="6:16">
      <c r="F23" s="61" t="str">
        <f t="shared" si="3"/>
        <v/>
      </c>
      <c r="H23" s="61" t="str">
        <f t="shared" si="4"/>
        <v/>
      </c>
      <c r="I23" s="61" t="str">
        <f t="shared" si="5"/>
        <v/>
      </c>
      <c r="L23" s="6">
        <v>22</v>
      </c>
      <c r="M23" s="8">
        <v>30.812999999999999</v>
      </c>
      <c r="N23" s="8">
        <v>33.923999999999999</v>
      </c>
      <c r="O23" s="8">
        <v>37.658999999999999</v>
      </c>
      <c r="P23" s="8">
        <v>40.289000000000001</v>
      </c>
    </row>
    <row r="24" spans="6:16">
      <c r="F24" s="61" t="str">
        <f t="shared" si="3"/>
        <v/>
      </c>
      <c r="H24" s="61" t="str">
        <f t="shared" si="4"/>
        <v/>
      </c>
      <c r="I24" s="61" t="str">
        <f t="shared" si="5"/>
        <v/>
      </c>
      <c r="L24" s="6">
        <v>23</v>
      </c>
      <c r="M24" s="8">
        <v>32.006999999999998</v>
      </c>
      <c r="N24" s="8">
        <v>35.171999999999997</v>
      </c>
      <c r="O24" s="8">
        <v>38.968000000000004</v>
      </c>
      <c r="P24" s="8">
        <v>41.637999999999998</v>
      </c>
    </row>
    <row r="25" spans="6:16">
      <c r="F25" s="61" t="str">
        <f t="shared" si="3"/>
        <v/>
      </c>
      <c r="H25" s="61" t="str">
        <f t="shared" si="4"/>
        <v/>
      </c>
      <c r="I25" s="61" t="str">
        <f t="shared" si="5"/>
        <v/>
      </c>
      <c r="L25" s="6">
        <v>24</v>
      </c>
      <c r="M25" s="8">
        <v>33.195999999999998</v>
      </c>
      <c r="N25" s="8">
        <v>36.414999999999999</v>
      </c>
      <c r="O25" s="8">
        <v>40.270000000000003</v>
      </c>
      <c r="P25" s="8">
        <v>42.98</v>
      </c>
    </row>
    <row r="26" spans="6:16">
      <c r="F26" s="61" t="str">
        <f t="shared" si="3"/>
        <v/>
      </c>
      <c r="H26" s="61" t="str">
        <f t="shared" si="4"/>
        <v/>
      </c>
      <c r="I26" s="61" t="str">
        <f t="shared" si="5"/>
        <v/>
      </c>
      <c r="L26" s="6">
        <v>25</v>
      </c>
      <c r="M26" s="8">
        <v>34.381999999999998</v>
      </c>
      <c r="N26" s="8">
        <v>37.652000000000001</v>
      </c>
      <c r="O26" s="8">
        <v>41.566000000000003</v>
      </c>
      <c r="P26" s="8">
        <v>44.314</v>
      </c>
    </row>
    <row r="27" spans="6:16">
      <c r="F27" s="61" t="str">
        <f t="shared" si="3"/>
        <v/>
      </c>
      <c r="H27" s="61" t="str">
        <f t="shared" si="4"/>
        <v/>
      </c>
      <c r="I27" s="61" t="str">
        <f t="shared" si="5"/>
        <v/>
      </c>
      <c r="L27" s="6">
        <v>26</v>
      </c>
      <c r="M27" s="8">
        <v>35.563000000000002</v>
      </c>
      <c r="N27" s="8">
        <v>38.884999999999998</v>
      </c>
      <c r="O27" s="8">
        <v>42.856000000000002</v>
      </c>
      <c r="P27" s="8">
        <v>45.642000000000003</v>
      </c>
    </row>
    <row r="28" spans="6:16">
      <c r="F28" s="61" t="str">
        <f t="shared" si="3"/>
        <v/>
      </c>
      <c r="H28" s="61" t="str">
        <f t="shared" si="4"/>
        <v/>
      </c>
      <c r="I28" s="61" t="str">
        <f t="shared" si="5"/>
        <v/>
      </c>
      <c r="L28" s="6">
        <v>27</v>
      </c>
      <c r="M28" s="8">
        <v>36.741</v>
      </c>
      <c r="N28" s="8">
        <v>40.113</v>
      </c>
      <c r="O28" s="8">
        <v>44.14</v>
      </c>
      <c r="P28" s="8">
        <v>46.963000000000001</v>
      </c>
    </row>
    <row r="29" spans="6:16">
      <c r="F29" s="61" t="str">
        <f t="shared" si="3"/>
        <v/>
      </c>
      <c r="H29" s="61" t="str">
        <f t="shared" si="4"/>
        <v/>
      </c>
      <c r="I29" s="61" t="str">
        <f t="shared" si="5"/>
        <v/>
      </c>
      <c r="L29" s="6">
        <v>28</v>
      </c>
      <c r="M29" s="8">
        <v>37.915999999999997</v>
      </c>
      <c r="N29" s="8">
        <v>41.337000000000003</v>
      </c>
      <c r="O29" s="8">
        <v>45.418999999999997</v>
      </c>
      <c r="P29" s="8">
        <v>48.277999999999999</v>
      </c>
    </row>
    <row r="30" spans="6:16">
      <c r="F30" s="61" t="str">
        <f t="shared" si="3"/>
        <v/>
      </c>
      <c r="H30" s="61" t="str">
        <f t="shared" si="4"/>
        <v/>
      </c>
      <c r="I30" s="61" t="str">
        <f t="shared" si="5"/>
        <v/>
      </c>
      <c r="L30" s="6">
        <v>29</v>
      </c>
      <c r="M30" s="8">
        <v>39.087000000000003</v>
      </c>
      <c r="N30" s="8">
        <v>42.557000000000002</v>
      </c>
      <c r="O30" s="8">
        <v>46.692999999999998</v>
      </c>
      <c r="P30" s="8">
        <v>49.588000000000001</v>
      </c>
    </row>
    <row r="31" spans="6:16">
      <c r="F31" s="61" t="str">
        <f t="shared" si="3"/>
        <v/>
      </c>
      <c r="H31" s="61" t="str">
        <f t="shared" si="4"/>
        <v/>
      </c>
      <c r="I31" s="61" t="str">
        <f t="shared" si="5"/>
        <v/>
      </c>
      <c r="L31" s="6">
        <v>30</v>
      </c>
      <c r="M31" s="8">
        <v>40.256</v>
      </c>
      <c r="N31" s="8">
        <v>43.773000000000003</v>
      </c>
      <c r="O31" s="8">
        <v>47.962000000000003</v>
      </c>
      <c r="P31" s="8">
        <v>50.892000000000003</v>
      </c>
    </row>
    <row r="32" spans="6:16">
      <c r="F32" s="61" t="str">
        <f t="shared" si="3"/>
        <v/>
      </c>
      <c r="H32" s="61" t="str">
        <f t="shared" si="4"/>
        <v/>
      </c>
      <c r="I32" s="61" t="str">
        <f t="shared" si="5"/>
        <v/>
      </c>
      <c r="L32" s="6">
        <v>31</v>
      </c>
      <c r="M32" s="8">
        <v>41.421999999999997</v>
      </c>
      <c r="N32" s="8">
        <v>44.984999999999999</v>
      </c>
      <c r="O32" s="8">
        <v>49.225999999999999</v>
      </c>
      <c r="P32" s="8">
        <v>52.191000000000003</v>
      </c>
    </row>
    <row r="33" spans="6:16">
      <c r="F33" s="61" t="str">
        <f t="shared" si="3"/>
        <v/>
      </c>
      <c r="H33" s="61" t="str">
        <f t="shared" si="4"/>
        <v/>
      </c>
      <c r="I33" s="61" t="str">
        <f t="shared" si="5"/>
        <v/>
      </c>
      <c r="L33" s="6">
        <v>32</v>
      </c>
      <c r="M33" s="8">
        <v>42.585000000000001</v>
      </c>
      <c r="N33" s="8">
        <v>46.194000000000003</v>
      </c>
      <c r="O33" s="8">
        <v>50.487000000000002</v>
      </c>
      <c r="P33" s="8">
        <v>53.485999999999997</v>
      </c>
    </row>
    <row r="34" spans="6:16">
      <c r="F34" s="61" t="str">
        <f t="shared" si="3"/>
        <v/>
      </c>
      <c r="H34" s="61" t="str">
        <f t="shared" si="4"/>
        <v/>
      </c>
      <c r="I34" s="61" t="str">
        <f t="shared" si="5"/>
        <v/>
      </c>
      <c r="L34" s="6">
        <v>33</v>
      </c>
      <c r="M34" s="8">
        <v>43.744999999999997</v>
      </c>
      <c r="N34" s="8">
        <v>47.4</v>
      </c>
      <c r="O34" s="8">
        <v>51.743000000000002</v>
      </c>
      <c r="P34" s="8">
        <v>54.776000000000003</v>
      </c>
    </row>
    <row r="35" spans="6:16">
      <c r="F35" s="61" t="str">
        <f t="shared" si="3"/>
        <v/>
      </c>
      <c r="H35" s="61" t="str">
        <f t="shared" si="4"/>
        <v/>
      </c>
      <c r="I35" s="61" t="str">
        <f t="shared" si="5"/>
        <v/>
      </c>
      <c r="L35" s="6">
        <v>34</v>
      </c>
      <c r="M35" s="8">
        <v>44.902999999999999</v>
      </c>
      <c r="N35" s="8">
        <v>48.601999999999997</v>
      </c>
      <c r="O35" s="8">
        <v>52.994999999999997</v>
      </c>
      <c r="P35" s="8">
        <v>56.061</v>
      </c>
    </row>
    <row r="36" spans="6:16">
      <c r="F36" s="61" t="str">
        <f t="shared" si="3"/>
        <v/>
      </c>
      <c r="H36" s="61" t="str">
        <f t="shared" si="4"/>
        <v/>
      </c>
      <c r="I36" s="61" t="str">
        <f t="shared" si="5"/>
        <v/>
      </c>
      <c r="L36" s="6">
        <v>35</v>
      </c>
      <c r="M36" s="8">
        <v>46.058999999999997</v>
      </c>
      <c r="N36" s="8">
        <v>49.802</v>
      </c>
      <c r="O36" s="8">
        <v>54.244</v>
      </c>
      <c r="P36" s="8">
        <v>57.341999999999999</v>
      </c>
    </row>
    <row r="37" spans="6:16">
      <c r="F37" s="61" t="str">
        <f t="shared" si="3"/>
        <v/>
      </c>
      <c r="H37" s="61" t="str">
        <f t="shared" si="4"/>
        <v/>
      </c>
      <c r="I37" s="61" t="str">
        <f t="shared" si="5"/>
        <v/>
      </c>
      <c r="L37" s="6">
        <v>36</v>
      </c>
      <c r="M37" s="8">
        <v>47.212000000000003</v>
      </c>
      <c r="N37" s="8">
        <v>50.997999999999998</v>
      </c>
      <c r="O37" s="8">
        <v>55.488999999999997</v>
      </c>
      <c r="P37" s="8">
        <v>58.619</v>
      </c>
    </row>
    <row r="38" spans="6:16">
      <c r="F38" s="61" t="str">
        <f t="shared" si="3"/>
        <v/>
      </c>
      <c r="H38" s="61" t="str">
        <f t="shared" si="4"/>
        <v/>
      </c>
      <c r="I38" s="61" t="str">
        <f t="shared" si="5"/>
        <v/>
      </c>
      <c r="L38" s="6">
        <v>37</v>
      </c>
      <c r="M38" s="8">
        <v>48.363</v>
      </c>
      <c r="N38" s="8">
        <v>52.192</v>
      </c>
      <c r="O38" s="8">
        <v>56.73</v>
      </c>
      <c r="P38" s="8">
        <v>59.893000000000001</v>
      </c>
    </row>
    <row r="39" spans="6:16">
      <c r="F39" s="61" t="str">
        <f t="shared" si="3"/>
        <v/>
      </c>
      <c r="H39" s="61" t="str">
        <f t="shared" si="4"/>
        <v/>
      </c>
      <c r="I39" s="61" t="str">
        <f t="shared" si="5"/>
        <v/>
      </c>
      <c r="L39" s="6">
        <v>38</v>
      </c>
      <c r="M39" s="8">
        <v>49.512999999999998</v>
      </c>
      <c r="N39" s="8">
        <v>53.384</v>
      </c>
      <c r="O39" s="8">
        <v>57.969000000000001</v>
      </c>
      <c r="P39" s="8">
        <v>61.161999999999999</v>
      </c>
    </row>
    <row r="40" spans="6:16">
      <c r="F40" s="61" t="str">
        <f t="shared" si="3"/>
        <v/>
      </c>
      <c r="H40" s="61" t="str">
        <f t="shared" si="4"/>
        <v/>
      </c>
      <c r="I40" s="61" t="str">
        <f t="shared" si="5"/>
        <v/>
      </c>
      <c r="L40" s="6">
        <v>39</v>
      </c>
      <c r="M40" s="8">
        <v>50.66</v>
      </c>
      <c r="N40" s="8">
        <v>54.572000000000003</v>
      </c>
      <c r="O40" s="8">
        <v>59.204000000000001</v>
      </c>
      <c r="P40" s="8">
        <v>62.427999999999997</v>
      </c>
    </row>
    <row r="41" spans="6:16">
      <c r="F41" s="61" t="str">
        <f t="shared" si="3"/>
        <v/>
      </c>
      <c r="H41" s="61" t="str">
        <f t="shared" si="4"/>
        <v/>
      </c>
      <c r="I41" s="61" t="str">
        <f t="shared" si="5"/>
        <v/>
      </c>
      <c r="L41" s="6">
        <v>40</v>
      </c>
      <c r="M41" s="8">
        <v>51.805</v>
      </c>
      <c r="N41" s="8">
        <v>55.758000000000003</v>
      </c>
      <c r="O41" s="8">
        <v>60.436</v>
      </c>
      <c r="P41" s="8">
        <v>63.691000000000003</v>
      </c>
    </row>
    <row r="42" spans="6:16">
      <c r="F42" s="61" t="str">
        <f t="shared" si="3"/>
        <v/>
      </c>
      <c r="H42" s="61" t="str">
        <f t="shared" si="4"/>
        <v/>
      </c>
      <c r="I42" s="61" t="str">
        <f t="shared" si="5"/>
        <v/>
      </c>
      <c r="L42" s="6">
        <v>41</v>
      </c>
      <c r="M42" s="8">
        <v>52.948999999999998</v>
      </c>
      <c r="N42" s="8">
        <v>56.942</v>
      </c>
      <c r="O42" s="8">
        <v>61.664999999999999</v>
      </c>
      <c r="P42" s="8">
        <v>64.95</v>
      </c>
    </row>
    <row r="43" spans="6:16">
      <c r="F43" s="61" t="str">
        <f t="shared" si="3"/>
        <v/>
      </c>
      <c r="H43" s="61" t="str">
        <f t="shared" si="4"/>
        <v/>
      </c>
      <c r="I43" s="61" t="str">
        <f t="shared" si="5"/>
        <v/>
      </c>
      <c r="L43" s="6">
        <v>42</v>
      </c>
      <c r="M43" s="8">
        <v>54.09</v>
      </c>
      <c r="N43" s="8">
        <v>58.124000000000002</v>
      </c>
      <c r="O43" s="8">
        <v>62.892000000000003</v>
      </c>
      <c r="P43" s="8">
        <v>66.206000000000003</v>
      </c>
    </row>
    <row r="44" spans="6:16">
      <c r="F44" s="61" t="str">
        <f t="shared" si="3"/>
        <v/>
      </c>
      <c r="H44" s="61" t="str">
        <f t="shared" si="4"/>
        <v/>
      </c>
      <c r="I44" s="61" t="str">
        <f t="shared" si="5"/>
        <v/>
      </c>
      <c r="L44" s="6">
        <v>43</v>
      </c>
      <c r="M44" s="8">
        <v>55.23</v>
      </c>
      <c r="N44" s="8">
        <v>59.304000000000002</v>
      </c>
      <c r="O44" s="8">
        <v>64.116</v>
      </c>
      <c r="P44" s="8">
        <v>67.459000000000003</v>
      </c>
    </row>
    <row r="45" spans="6:16">
      <c r="F45" s="61" t="str">
        <f t="shared" si="3"/>
        <v/>
      </c>
      <c r="H45" s="61" t="str">
        <f t="shared" si="4"/>
        <v/>
      </c>
      <c r="I45" s="61" t="str">
        <f t="shared" si="5"/>
        <v/>
      </c>
      <c r="L45" s="6">
        <v>44</v>
      </c>
      <c r="M45" s="8">
        <v>56.369</v>
      </c>
      <c r="N45" s="8">
        <v>60.481000000000002</v>
      </c>
      <c r="O45" s="8">
        <v>65.337000000000003</v>
      </c>
      <c r="P45" s="8">
        <v>68.709999999999994</v>
      </c>
    </row>
    <row r="46" spans="6:16">
      <c r="F46" s="61" t="str">
        <f t="shared" si="3"/>
        <v/>
      </c>
      <c r="H46" s="61" t="str">
        <f t="shared" si="4"/>
        <v/>
      </c>
      <c r="I46" s="61" t="str">
        <f t="shared" si="5"/>
        <v/>
      </c>
      <c r="L46" s="6">
        <v>45</v>
      </c>
      <c r="M46" s="8">
        <v>57.505000000000003</v>
      </c>
      <c r="N46" s="8">
        <v>61.655999999999999</v>
      </c>
      <c r="O46" s="8">
        <v>66.555000000000007</v>
      </c>
      <c r="P46" s="8">
        <v>69.956999999999994</v>
      </c>
    </row>
    <row r="47" spans="6:16">
      <c r="F47" s="61" t="str">
        <f t="shared" si="3"/>
        <v/>
      </c>
      <c r="H47" s="61" t="str">
        <f t="shared" si="4"/>
        <v/>
      </c>
      <c r="I47" s="61" t="str">
        <f t="shared" si="5"/>
        <v/>
      </c>
      <c r="L47" s="6">
        <v>46</v>
      </c>
      <c r="M47" s="8">
        <v>58.640999999999998</v>
      </c>
      <c r="N47" s="8">
        <v>62.83</v>
      </c>
      <c r="O47" s="8">
        <v>67.771000000000001</v>
      </c>
      <c r="P47" s="8">
        <v>71.200999999999993</v>
      </c>
    </row>
    <row r="48" spans="6:16">
      <c r="F48" s="61" t="str">
        <f t="shared" si="3"/>
        <v/>
      </c>
      <c r="H48" s="61" t="str">
        <f t="shared" si="4"/>
        <v/>
      </c>
      <c r="I48" s="61" t="str">
        <f t="shared" si="5"/>
        <v/>
      </c>
      <c r="L48" s="6">
        <v>47</v>
      </c>
      <c r="M48" s="8">
        <v>59.774000000000001</v>
      </c>
      <c r="N48" s="8">
        <v>64.001000000000005</v>
      </c>
      <c r="O48" s="8">
        <v>68.984999999999999</v>
      </c>
      <c r="P48" s="8">
        <v>72.442999999999998</v>
      </c>
    </row>
    <row r="49" spans="6:16">
      <c r="F49" s="61" t="str">
        <f t="shared" si="3"/>
        <v/>
      </c>
      <c r="H49" s="61" t="str">
        <f t="shared" si="4"/>
        <v/>
      </c>
      <c r="I49" s="61" t="str">
        <f t="shared" si="5"/>
        <v/>
      </c>
      <c r="L49" s="6">
        <v>48</v>
      </c>
      <c r="M49" s="8">
        <v>60.906999999999996</v>
      </c>
      <c r="N49" s="8">
        <v>65.171000000000006</v>
      </c>
      <c r="O49" s="8">
        <v>70.197000000000003</v>
      </c>
      <c r="P49" s="8">
        <v>73.683000000000007</v>
      </c>
    </row>
    <row r="50" spans="6:16">
      <c r="F50" s="61" t="str">
        <f t="shared" si="3"/>
        <v/>
      </c>
      <c r="H50" s="61" t="str">
        <f t="shared" si="4"/>
        <v/>
      </c>
      <c r="I50" s="61" t="str">
        <f t="shared" si="5"/>
        <v/>
      </c>
      <c r="L50" s="6">
        <v>49</v>
      </c>
      <c r="M50" s="8">
        <v>62.037999999999997</v>
      </c>
      <c r="N50" s="8">
        <v>66.338999999999999</v>
      </c>
      <c r="O50" s="8">
        <v>71.406000000000006</v>
      </c>
      <c r="P50" s="8">
        <v>74.918999999999997</v>
      </c>
    </row>
    <row r="51" spans="6:16">
      <c r="F51" s="61" t="str">
        <f t="shared" si="3"/>
        <v/>
      </c>
      <c r="H51" s="61" t="str">
        <f t="shared" si="4"/>
        <v/>
      </c>
      <c r="I51" s="61" t="str">
        <f t="shared" si="5"/>
        <v/>
      </c>
      <c r="L51" s="9" t="s">
        <v>357</v>
      </c>
    </row>
    <row r="52" spans="6:16">
      <c r="F52" s="61" t="str">
        <f t="shared" si="3"/>
        <v/>
      </c>
      <c r="H52" s="61" t="str">
        <f t="shared" si="4"/>
        <v/>
      </c>
      <c r="I52" s="61" t="str">
        <f t="shared" si="5"/>
        <v/>
      </c>
    </row>
    <row r="53" spans="6:16">
      <c r="F53" s="61" t="str">
        <f t="shared" si="3"/>
        <v/>
      </c>
      <c r="H53" s="61" t="str">
        <f t="shared" si="4"/>
        <v/>
      </c>
      <c r="I53" s="61" t="str">
        <f t="shared" si="5"/>
        <v/>
      </c>
    </row>
    <row r="54" spans="6:16">
      <c r="F54" s="61" t="str">
        <f t="shared" si="3"/>
        <v/>
      </c>
      <c r="H54" s="61" t="str">
        <f t="shared" si="4"/>
        <v/>
      </c>
      <c r="I54" s="61" t="str">
        <f t="shared" si="5"/>
        <v/>
      </c>
    </row>
    <row r="55" spans="6:16">
      <c r="F55" s="61" t="str">
        <f t="shared" si="3"/>
        <v/>
      </c>
      <c r="H55" s="61" t="str">
        <f t="shared" si="4"/>
        <v/>
      </c>
      <c r="I55" s="61" t="str">
        <f t="shared" si="5"/>
        <v/>
      </c>
    </row>
    <row r="56" spans="6:16">
      <c r="F56" s="61" t="str">
        <f t="shared" si="3"/>
        <v/>
      </c>
      <c r="H56" s="61" t="str">
        <f t="shared" si="4"/>
        <v/>
      </c>
      <c r="I56" s="61" t="str">
        <f t="shared" si="5"/>
        <v/>
      </c>
    </row>
    <row r="57" spans="6:16">
      <c r="F57" s="61" t="str">
        <f t="shared" si="3"/>
        <v/>
      </c>
      <c r="H57" s="61" t="str">
        <f t="shared" si="4"/>
        <v/>
      </c>
      <c r="I57" s="61" t="str">
        <f t="shared" si="5"/>
        <v/>
      </c>
    </row>
    <row r="58" spans="6:16">
      <c r="F58" s="61" t="str">
        <f t="shared" si="3"/>
        <v/>
      </c>
      <c r="H58" s="61" t="str">
        <f t="shared" si="4"/>
        <v/>
      </c>
      <c r="I58" s="61" t="str">
        <f t="shared" si="5"/>
        <v/>
      </c>
    </row>
    <row r="59" spans="6:16">
      <c r="F59" s="61" t="str">
        <f t="shared" si="3"/>
        <v/>
      </c>
      <c r="H59" s="61" t="str">
        <f t="shared" si="4"/>
        <v/>
      </c>
      <c r="I59" s="61" t="str">
        <f t="shared" si="5"/>
        <v/>
      </c>
    </row>
    <row r="60" spans="6:16">
      <c r="F60" s="61" t="str">
        <f t="shared" si="3"/>
        <v/>
      </c>
      <c r="H60" s="61" t="str">
        <f t="shared" si="4"/>
        <v/>
      </c>
      <c r="I60" s="61" t="str">
        <f t="shared" si="5"/>
        <v/>
      </c>
    </row>
    <row r="61" spans="6:16">
      <c r="F61" s="61" t="str">
        <f t="shared" si="3"/>
        <v/>
      </c>
      <c r="H61" s="61" t="str">
        <f t="shared" si="4"/>
        <v/>
      </c>
      <c r="I61" s="61" t="str">
        <f t="shared" si="5"/>
        <v/>
      </c>
    </row>
    <row r="62" spans="6:16">
      <c r="F62" s="61" t="str">
        <f t="shared" si="3"/>
        <v/>
      </c>
      <c r="H62" s="61" t="str">
        <f t="shared" si="4"/>
        <v/>
      </c>
      <c r="I62" s="61" t="str">
        <f t="shared" si="5"/>
        <v/>
      </c>
    </row>
    <row r="63" spans="6:16">
      <c r="F63" s="61" t="str">
        <f t="shared" si="3"/>
        <v/>
      </c>
      <c r="H63" s="61" t="str">
        <f t="shared" si="4"/>
        <v/>
      </c>
      <c r="I63" s="61" t="str">
        <f t="shared" si="5"/>
        <v/>
      </c>
    </row>
    <row r="64" spans="6:16">
      <c r="F64" s="61" t="str">
        <f t="shared" si="3"/>
        <v/>
      </c>
      <c r="H64" s="61" t="str">
        <f t="shared" si="4"/>
        <v/>
      </c>
      <c r="I64" s="61" t="str">
        <f t="shared" si="5"/>
        <v/>
      </c>
    </row>
    <row r="65" spans="6:9">
      <c r="F65" s="61" t="str">
        <f t="shared" si="3"/>
        <v/>
      </c>
      <c r="H65" s="61" t="str">
        <f t="shared" si="4"/>
        <v/>
      </c>
      <c r="I65" s="61" t="str">
        <f t="shared" si="5"/>
        <v/>
      </c>
    </row>
    <row r="66" spans="6:9">
      <c r="F66" s="61" t="str">
        <f t="shared" si="3"/>
        <v/>
      </c>
      <c r="H66" s="61" t="str">
        <f t="shared" si="4"/>
        <v/>
      </c>
      <c r="I66" s="61" t="str">
        <f t="shared" si="5"/>
        <v/>
      </c>
    </row>
    <row r="67" spans="6:9">
      <c r="F67" s="61" t="str">
        <f t="shared" si="3"/>
        <v/>
      </c>
      <c r="H67" s="61" t="str">
        <f t="shared" si="4"/>
        <v/>
      </c>
      <c r="I67" s="61" t="str">
        <f t="shared" si="5"/>
        <v/>
      </c>
    </row>
    <row r="68" spans="6:9">
      <c r="F68" s="61" t="str">
        <f t="shared" si="3"/>
        <v/>
      </c>
      <c r="H68" s="61" t="str">
        <f t="shared" si="4"/>
        <v/>
      </c>
      <c r="I68" s="61" t="str">
        <f t="shared" si="5"/>
        <v/>
      </c>
    </row>
    <row r="69" spans="6:9">
      <c r="F69" s="61" t="str">
        <f t="shared" si="3"/>
        <v/>
      </c>
      <c r="H69" s="61" t="str">
        <f t="shared" si="4"/>
        <v/>
      </c>
      <c r="I69" s="61" t="str">
        <f t="shared" si="5"/>
        <v/>
      </c>
    </row>
    <row r="70" spans="6:9">
      <c r="F70" s="61" t="str">
        <f t="shared" si="3"/>
        <v/>
      </c>
      <c r="H70" s="61" t="str">
        <f t="shared" si="4"/>
        <v/>
      </c>
      <c r="I70" s="61" t="str">
        <f t="shared" si="5"/>
        <v/>
      </c>
    </row>
    <row r="71" spans="6:9">
      <c r="F71" s="61" t="str">
        <f t="shared" si="3"/>
        <v/>
      </c>
      <c r="H71" s="61" t="str">
        <f t="shared" si="4"/>
        <v/>
      </c>
      <c r="I71" s="61" t="str">
        <f t="shared" si="5"/>
        <v/>
      </c>
    </row>
    <row r="72" spans="6:9">
      <c r="F72" s="61" t="str">
        <f t="shared" si="3"/>
        <v/>
      </c>
      <c r="H72" s="61" t="str">
        <f t="shared" si="4"/>
        <v/>
      </c>
      <c r="I72" s="61" t="str">
        <f t="shared" si="5"/>
        <v/>
      </c>
    </row>
    <row r="73" spans="6:9">
      <c r="F73" s="61" t="str">
        <f t="shared" si="3"/>
        <v/>
      </c>
      <c r="H73" s="61" t="str">
        <f t="shared" si="4"/>
        <v/>
      </c>
      <c r="I73" s="61" t="str">
        <f t="shared" si="5"/>
        <v/>
      </c>
    </row>
    <row r="74" spans="6:9">
      <c r="F74" s="61" t="str">
        <f t="shared" si="3"/>
        <v/>
      </c>
      <c r="H74" s="61" t="str">
        <f t="shared" si="4"/>
        <v/>
      </c>
      <c r="I74" s="61" t="str">
        <f t="shared" si="5"/>
        <v/>
      </c>
    </row>
    <row r="75" spans="6:9">
      <c r="F75" s="61" t="str">
        <f t="shared" ref="F75:F101" si="6">IF(ISBLANK(E75),"",(D75*G$2))</f>
        <v/>
      </c>
      <c r="H75" s="61" t="str">
        <f t="shared" ref="H75:H101" si="7">IF(ISBLANK(E75),"",E75-F75)</f>
        <v/>
      </c>
      <c r="I75" s="61" t="str">
        <f t="shared" ref="I75:I101" si="8">IF(ISBLANK(E75),"",(H75^2/F75))</f>
        <v/>
      </c>
    </row>
    <row r="76" spans="6:9">
      <c r="F76" s="61" t="str">
        <f t="shared" si="6"/>
        <v/>
      </c>
      <c r="H76" s="61" t="str">
        <f t="shared" si="7"/>
        <v/>
      </c>
      <c r="I76" s="61" t="str">
        <f t="shared" si="8"/>
        <v/>
      </c>
    </row>
    <row r="77" spans="6:9">
      <c r="F77" s="61" t="str">
        <f t="shared" si="6"/>
        <v/>
      </c>
      <c r="H77" s="61" t="str">
        <f t="shared" si="7"/>
        <v/>
      </c>
      <c r="I77" s="61" t="str">
        <f t="shared" si="8"/>
        <v/>
      </c>
    </row>
    <row r="78" spans="6:9">
      <c r="F78" s="61" t="str">
        <f t="shared" si="6"/>
        <v/>
      </c>
      <c r="H78" s="61" t="str">
        <f t="shared" si="7"/>
        <v/>
      </c>
      <c r="I78" s="61" t="str">
        <f t="shared" si="8"/>
        <v/>
      </c>
    </row>
    <row r="79" spans="6:9">
      <c r="F79" s="61" t="str">
        <f t="shared" si="6"/>
        <v/>
      </c>
      <c r="H79" s="61" t="str">
        <f t="shared" si="7"/>
        <v/>
      </c>
      <c r="I79" s="61" t="str">
        <f t="shared" si="8"/>
        <v/>
      </c>
    </row>
    <row r="80" spans="6:9">
      <c r="F80" s="61" t="str">
        <f t="shared" si="6"/>
        <v/>
      </c>
      <c r="H80" s="61" t="str">
        <f t="shared" si="7"/>
        <v/>
      </c>
      <c r="I80" s="61" t="str">
        <f t="shared" si="8"/>
        <v/>
      </c>
    </row>
    <row r="81" spans="6:9">
      <c r="F81" s="61" t="str">
        <f t="shared" si="6"/>
        <v/>
      </c>
      <c r="H81" s="61" t="str">
        <f t="shared" si="7"/>
        <v/>
      </c>
      <c r="I81" s="61" t="str">
        <f t="shared" si="8"/>
        <v/>
      </c>
    </row>
    <row r="82" spans="6:9">
      <c r="F82" s="61" t="str">
        <f t="shared" si="6"/>
        <v/>
      </c>
      <c r="H82" s="61" t="str">
        <f t="shared" si="7"/>
        <v/>
      </c>
      <c r="I82" s="61" t="str">
        <f t="shared" si="8"/>
        <v/>
      </c>
    </row>
    <row r="83" spans="6:9">
      <c r="F83" s="61" t="str">
        <f t="shared" si="6"/>
        <v/>
      </c>
      <c r="H83" s="61" t="str">
        <f t="shared" si="7"/>
        <v/>
      </c>
      <c r="I83" s="61" t="str">
        <f t="shared" si="8"/>
        <v/>
      </c>
    </row>
    <row r="84" spans="6:9">
      <c r="F84" s="61" t="str">
        <f t="shared" si="6"/>
        <v/>
      </c>
      <c r="H84" s="61" t="str">
        <f t="shared" si="7"/>
        <v/>
      </c>
      <c r="I84" s="61" t="str">
        <f t="shared" si="8"/>
        <v/>
      </c>
    </row>
    <row r="85" spans="6:9">
      <c r="F85" s="61" t="str">
        <f t="shared" si="6"/>
        <v/>
      </c>
      <c r="H85" s="61" t="str">
        <f t="shared" si="7"/>
        <v/>
      </c>
      <c r="I85" s="61" t="str">
        <f t="shared" si="8"/>
        <v/>
      </c>
    </row>
    <row r="86" spans="6:9">
      <c r="F86" s="61" t="str">
        <f t="shared" si="6"/>
        <v/>
      </c>
      <c r="H86" s="61" t="str">
        <f t="shared" si="7"/>
        <v/>
      </c>
      <c r="I86" s="61" t="str">
        <f t="shared" si="8"/>
        <v/>
      </c>
    </row>
    <row r="87" spans="6:9">
      <c r="F87" s="61" t="str">
        <f t="shared" si="6"/>
        <v/>
      </c>
      <c r="H87" s="61" t="str">
        <f t="shared" si="7"/>
        <v/>
      </c>
      <c r="I87" s="61" t="str">
        <f t="shared" si="8"/>
        <v/>
      </c>
    </row>
    <row r="88" spans="6:9">
      <c r="F88" s="61" t="str">
        <f t="shared" si="6"/>
        <v/>
      </c>
      <c r="H88" s="61" t="str">
        <f t="shared" si="7"/>
        <v/>
      </c>
      <c r="I88" s="61" t="str">
        <f t="shared" si="8"/>
        <v/>
      </c>
    </row>
    <row r="89" spans="6:9">
      <c r="F89" s="61" t="str">
        <f t="shared" si="6"/>
        <v/>
      </c>
      <c r="H89" s="61" t="str">
        <f t="shared" si="7"/>
        <v/>
      </c>
      <c r="I89" s="61" t="str">
        <f t="shared" si="8"/>
        <v/>
      </c>
    </row>
    <row r="90" spans="6:9">
      <c r="F90" s="61" t="str">
        <f t="shared" si="6"/>
        <v/>
      </c>
      <c r="H90" s="61" t="str">
        <f t="shared" si="7"/>
        <v/>
      </c>
      <c r="I90" s="61" t="str">
        <f t="shared" si="8"/>
        <v/>
      </c>
    </row>
    <row r="91" spans="6:9">
      <c r="F91" s="61" t="str">
        <f t="shared" si="6"/>
        <v/>
      </c>
      <c r="H91" s="61" t="str">
        <f t="shared" si="7"/>
        <v/>
      </c>
      <c r="I91" s="61" t="str">
        <f t="shared" si="8"/>
        <v/>
      </c>
    </row>
    <row r="92" spans="6:9">
      <c r="F92" s="61" t="str">
        <f t="shared" si="6"/>
        <v/>
      </c>
      <c r="H92" s="61" t="str">
        <f t="shared" si="7"/>
        <v/>
      </c>
      <c r="I92" s="61" t="str">
        <f t="shared" si="8"/>
        <v/>
      </c>
    </row>
    <row r="93" spans="6:9">
      <c r="F93" s="61" t="str">
        <f t="shared" si="6"/>
        <v/>
      </c>
      <c r="H93" s="61" t="str">
        <f t="shared" si="7"/>
        <v/>
      </c>
      <c r="I93" s="61" t="str">
        <f t="shared" si="8"/>
        <v/>
      </c>
    </row>
    <row r="94" spans="6:9">
      <c r="F94" s="61" t="str">
        <f t="shared" si="6"/>
        <v/>
      </c>
      <c r="H94" s="61" t="str">
        <f t="shared" si="7"/>
        <v/>
      </c>
      <c r="I94" s="61" t="str">
        <f t="shared" si="8"/>
        <v/>
      </c>
    </row>
    <row r="95" spans="6:9">
      <c r="F95" s="61" t="str">
        <f t="shared" si="6"/>
        <v/>
      </c>
      <c r="H95" s="61" t="str">
        <f t="shared" si="7"/>
        <v/>
      </c>
      <c r="I95" s="61" t="str">
        <f t="shared" si="8"/>
        <v/>
      </c>
    </row>
    <row r="96" spans="6:9">
      <c r="F96" s="61" t="str">
        <f t="shared" si="6"/>
        <v/>
      </c>
      <c r="H96" s="61" t="str">
        <f t="shared" si="7"/>
        <v/>
      </c>
      <c r="I96" s="61" t="str">
        <f t="shared" si="8"/>
        <v/>
      </c>
    </row>
    <row r="97" spans="6:9">
      <c r="F97" s="61" t="str">
        <f t="shared" si="6"/>
        <v/>
      </c>
      <c r="H97" s="61" t="str">
        <f t="shared" si="7"/>
        <v/>
      </c>
      <c r="I97" s="61" t="str">
        <f t="shared" si="8"/>
        <v/>
      </c>
    </row>
    <row r="98" spans="6:9">
      <c r="F98" s="61" t="str">
        <f t="shared" si="6"/>
        <v/>
      </c>
      <c r="H98" s="61" t="str">
        <f t="shared" si="7"/>
        <v/>
      </c>
      <c r="I98" s="61" t="str">
        <f t="shared" si="8"/>
        <v/>
      </c>
    </row>
    <row r="99" spans="6:9">
      <c r="F99" s="61" t="str">
        <f t="shared" si="6"/>
        <v/>
      </c>
      <c r="H99" s="61" t="str">
        <f t="shared" si="7"/>
        <v/>
      </c>
      <c r="I99" s="61" t="str">
        <f t="shared" si="8"/>
        <v/>
      </c>
    </row>
    <row r="100" spans="6:9">
      <c r="F100" s="61" t="str">
        <f t="shared" si="6"/>
        <v/>
      </c>
      <c r="H100" s="61" t="str">
        <f t="shared" si="7"/>
        <v/>
      </c>
      <c r="I100" s="61" t="str">
        <f t="shared" si="8"/>
        <v/>
      </c>
    </row>
    <row r="101" spans="6:9">
      <c r="F101" s="61" t="str">
        <f t="shared" si="6"/>
        <v/>
      </c>
      <c r="H101" s="61" t="str">
        <f t="shared" si="7"/>
        <v/>
      </c>
      <c r="I101" s="61" t="str">
        <f t="shared" si="8"/>
        <v/>
      </c>
    </row>
  </sheetData>
  <sheetProtection sheet="1" objects="1" scenarios="1" selectLockedCells="1"/>
  <mergeCells count="4">
    <mergeCell ref="A2:A3"/>
    <mergeCell ref="J9:J11"/>
    <mergeCell ref="J12:J16"/>
    <mergeCell ref="J17:J19"/>
  </mergeCells>
  <pageMargins left="0.7" right="0.7" top="0.75" bottom="0.75" header="0.3" footer="0.3"/>
  <pageSetup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102"/>
  <sheetViews>
    <sheetView workbookViewId="0">
      <selection activeCell="A21" sqref="A21"/>
    </sheetView>
  </sheetViews>
  <sheetFormatPr defaultRowHeight="15"/>
  <cols>
    <col min="1" max="1" width="12.140625" style="208" customWidth="1"/>
    <col min="2" max="4" width="9.140625" style="208"/>
    <col min="5" max="5" width="9.140625" style="208" customWidth="1"/>
    <col min="6" max="6" width="19.140625" bestFit="1" customWidth="1"/>
    <col min="7" max="7" width="9.140625" customWidth="1"/>
    <col min="8" max="8" width="5.42578125" bestFit="1" customWidth="1"/>
  </cols>
  <sheetData>
    <row r="1" spans="1:7">
      <c r="A1" t="s">
        <v>358</v>
      </c>
      <c r="B1"/>
      <c r="C1"/>
      <c r="D1"/>
      <c r="E1"/>
      <c r="G1" t="s">
        <v>359</v>
      </c>
    </row>
    <row r="2" spans="1:7">
      <c r="A2" t="s">
        <v>360</v>
      </c>
      <c r="B2"/>
      <c r="C2"/>
      <c r="D2"/>
      <c r="E2"/>
      <c r="G2" s="18" t="s">
        <v>361</v>
      </c>
    </row>
    <row r="3" spans="1:7">
      <c r="A3" t="s">
        <v>362</v>
      </c>
      <c r="B3"/>
      <c r="C3"/>
      <c r="D3"/>
      <c r="E3"/>
    </row>
    <row r="4" spans="1:7">
      <c r="A4" t="s">
        <v>363</v>
      </c>
      <c r="B4" t="s">
        <v>364</v>
      </c>
      <c r="C4"/>
      <c r="D4"/>
      <c r="E4"/>
    </row>
    <row r="5" spans="1:7">
      <c r="A5"/>
      <c r="B5" t="s">
        <v>365</v>
      </c>
      <c r="C5"/>
      <c r="D5"/>
      <c r="E5"/>
    </row>
    <row r="6" spans="1:7">
      <c r="A6" t="s">
        <v>366</v>
      </c>
      <c r="B6"/>
      <c r="C6" s="90" t="s">
        <v>367</v>
      </c>
      <c r="D6"/>
      <c r="E6"/>
    </row>
    <row r="7" spans="1:7">
      <c r="A7" t="s">
        <v>368</v>
      </c>
      <c r="B7"/>
      <c r="C7"/>
      <c r="D7"/>
      <c r="E7"/>
    </row>
    <row r="8" spans="1:7">
      <c r="A8" t="s">
        <v>369</v>
      </c>
      <c r="B8"/>
      <c r="C8"/>
      <c r="D8"/>
      <c r="E8"/>
      <c r="G8" s="18" t="s">
        <v>367</v>
      </c>
    </row>
    <row r="9" spans="1:7">
      <c r="A9" t="s">
        <v>370</v>
      </c>
      <c r="B9"/>
      <c r="C9"/>
      <c r="D9"/>
      <c r="E9"/>
      <c r="G9" s="18"/>
    </row>
    <row r="10" spans="1:7">
      <c r="A10" t="s">
        <v>371</v>
      </c>
      <c r="B10"/>
      <c r="C10"/>
      <c r="D10"/>
      <c r="E10"/>
    </row>
    <row r="11" spans="1:7">
      <c r="A11" t="s">
        <v>372</v>
      </c>
      <c r="B11"/>
      <c r="C11"/>
      <c r="D11"/>
      <c r="E11"/>
    </row>
    <row r="12" spans="1:7">
      <c r="A12" t="s">
        <v>373</v>
      </c>
      <c r="B12"/>
      <c r="C12"/>
      <c r="D12"/>
      <c r="E12"/>
    </row>
    <row r="13" spans="1:7">
      <c r="A13"/>
      <c r="B13" t="s">
        <v>374</v>
      </c>
      <c r="C13"/>
      <c r="D13"/>
      <c r="E13"/>
    </row>
    <row r="14" spans="1:7">
      <c r="A14"/>
      <c r="B14" t="s">
        <v>375</v>
      </c>
      <c r="C14"/>
      <c r="D14"/>
      <c r="E14"/>
    </row>
    <row r="15" spans="1:7">
      <c r="A15" t="s">
        <v>376</v>
      </c>
      <c r="B15"/>
      <c r="C15"/>
      <c r="D15"/>
      <c r="E15"/>
    </row>
    <row r="16" spans="1:7">
      <c r="A16" t="s">
        <v>377</v>
      </c>
      <c r="B16"/>
      <c r="C16"/>
      <c r="D16"/>
      <c r="E16"/>
    </row>
    <row r="17" spans="1:12">
      <c r="A17" t="s">
        <v>378</v>
      </c>
      <c r="B17"/>
      <c r="C17"/>
      <c r="D17"/>
      <c r="E17"/>
    </row>
    <row r="18" spans="1:12">
      <c r="A18"/>
      <c r="B18" t="s">
        <v>379</v>
      </c>
      <c r="C18"/>
      <c r="D18"/>
      <c r="E18"/>
    </row>
    <row r="19" spans="1:12">
      <c r="A19"/>
      <c r="B19"/>
      <c r="C19"/>
      <c r="D19"/>
      <c r="E19"/>
      <c r="F19" t="s">
        <v>380</v>
      </c>
    </row>
    <row r="20" spans="1:12">
      <c r="A20" s="28" t="s">
        <v>381</v>
      </c>
      <c r="B20"/>
      <c r="C20"/>
      <c r="D20"/>
      <c r="E20"/>
    </row>
    <row r="21" spans="1:12" ht="15.75" thickBot="1">
      <c r="A21" s="209" t="s">
        <v>382</v>
      </c>
      <c r="B21" s="209" t="s">
        <v>383</v>
      </c>
      <c r="C21" s="209" t="s">
        <v>384</v>
      </c>
      <c r="D21" s="209"/>
      <c r="E21" s="209"/>
      <c r="F21" t="s">
        <v>385</v>
      </c>
    </row>
    <row r="22" spans="1:12">
      <c r="A22" s="209">
        <v>42</v>
      </c>
      <c r="B22" s="209">
        <v>69</v>
      </c>
      <c r="C22" s="209">
        <v>35</v>
      </c>
      <c r="D22" s="209"/>
      <c r="E22" s="209"/>
      <c r="F22" s="20" t="s">
        <v>386</v>
      </c>
      <c r="G22" s="20" t="s">
        <v>387</v>
      </c>
      <c r="H22" s="20" t="s">
        <v>388</v>
      </c>
      <c r="I22" s="20" t="s">
        <v>389</v>
      </c>
      <c r="J22" s="20" t="s">
        <v>136</v>
      </c>
    </row>
    <row r="23" spans="1:12">
      <c r="A23" s="209">
        <v>53</v>
      </c>
      <c r="B23" s="209">
        <v>54</v>
      </c>
      <c r="C23" s="209">
        <v>40</v>
      </c>
      <c r="D23" s="209"/>
      <c r="E23" s="209"/>
      <c r="F23" s="57" t="s">
        <v>382</v>
      </c>
      <c r="G23" s="57">
        <v>9</v>
      </c>
      <c r="H23" s="57">
        <v>435</v>
      </c>
      <c r="I23" s="57">
        <v>48.333333333333336</v>
      </c>
      <c r="J23" s="57">
        <v>23.5</v>
      </c>
    </row>
    <row r="24" spans="1:12">
      <c r="A24" s="209">
        <v>49</v>
      </c>
      <c r="B24" s="209">
        <v>58</v>
      </c>
      <c r="C24" s="209">
        <v>53</v>
      </c>
      <c r="D24" s="209"/>
      <c r="E24" s="209"/>
      <c r="F24" s="57" t="s">
        <v>383</v>
      </c>
      <c r="G24" s="57">
        <v>7</v>
      </c>
      <c r="H24" s="57">
        <v>420</v>
      </c>
      <c r="I24" s="57">
        <v>60</v>
      </c>
      <c r="J24" s="57">
        <v>32.333333333333336</v>
      </c>
    </row>
    <row r="25" spans="1:12" ht="15.75" thickBot="1">
      <c r="A25" s="209">
        <v>53</v>
      </c>
      <c r="B25" s="209">
        <v>64</v>
      </c>
      <c r="C25" s="209">
        <v>42</v>
      </c>
      <c r="D25" s="209"/>
      <c r="E25" s="209"/>
      <c r="F25" s="58" t="s">
        <v>384</v>
      </c>
      <c r="G25" s="58">
        <v>9</v>
      </c>
      <c r="H25" s="58">
        <v>393</v>
      </c>
      <c r="I25" s="58">
        <v>43.666666666666664</v>
      </c>
      <c r="J25" s="58">
        <v>50.5</v>
      </c>
    </row>
    <row r="26" spans="1:12">
      <c r="A26" s="209">
        <v>43</v>
      </c>
      <c r="B26" s="209">
        <v>64</v>
      </c>
      <c r="C26" s="209">
        <v>50</v>
      </c>
      <c r="D26" s="209"/>
      <c r="E26" s="209"/>
    </row>
    <row r="27" spans="1:12">
      <c r="A27" s="209">
        <v>44</v>
      </c>
      <c r="B27" s="209">
        <v>55</v>
      </c>
      <c r="C27" s="209">
        <v>39</v>
      </c>
      <c r="D27" s="209"/>
      <c r="E27" s="209"/>
    </row>
    <row r="28" spans="1:12" ht="15.75" thickBot="1">
      <c r="A28" s="209">
        <v>45</v>
      </c>
      <c r="B28" s="209">
        <v>56</v>
      </c>
      <c r="C28" s="209">
        <v>55</v>
      </c>
      <c r="D28" s="209"/>
      <c r="E28" s="209"/>
      <c r="F28" t="s">
        <v>390</v>
      </c>
    </row>
    <row r="29" spans="1:12">
      <c r="A29" s="209">
        <v>52</v>
      </c>
      <c r="B29" s="209"/>
      <c r="C29" s="209">
        <v>39</v>
      </c>
      <c r="D29" s="209"/>
      <c r="E29" s="209"/>
      <c r="F29" s="59" t="s">
        <v>391</v>
      </c>
      <c r="G29" s="59" t="s">
        <v>392</v>
      </c>
      <c r="H29" s="59" t="s">
        <v>393</v>
      </c>
      <c r="I29" s="59" t="s">
        <v>394</v>
      </c>
      <c r="J29" s="59" t="s">
        <v>395</v>
      </c>
      <c r="K29" s="59" t="s">
        <v>396</v>
      </c>
      <c r="L29" s="59" t="s">
        <v>397</v>
      </c>
    </row>
    <row r="30" spans="1:12">
      <c r="A30" s="209">
        <v>54</v>
      </c>
      <c r="B30" s="209"/>
      <c r="C30" s="209">
        <v>40</v>
      </c>
      <c r="D30" s="209"/>
      <c r="E30" s="209"/>
      <c r="F30" s="57" t="s">
        <v>398</v>
      </c>
      <c r="G30" s="57">
        <v>1085.8400000000001</v>
      </c>
      <c r="H30" s="57">
        <v>2</v>
      </c>
      <c r="I30" s="57">
        <v>542.92000000000007</v>
      </c>
      <c r="J30" s="57">
        <v>15.196234096692114</v>
      </c>
      <c r="K30" s="57">
        <v>7.1563578071762569E-5</v>
      </c>
      <c r="L30" s="57">
        <v>3.4433567793667246</v>
      </c>
    </row>
    <row r="31" spans="1:12">
      <c r="A31" s="209"/>
      <c r="B31" s="209"/>
      <c r="C31" s="209"/>
      <c r="D31" s="209"/>
      <c r="E31" s="209"/>
      <c r="F31" s="57" t="s">
        <v>399</v>
      </c>
      <c r="G31" s="57">
        <v>786</v>
      </c>
      <c r="H31" s="57">
        <v>22</v>
      </c>
      <c r="I31" s="57">
        <v>35.727272727272727</v>
      </c>
      <c r="J31" s="57"/>
      <c r="K31" s="57"/>
      <c r="L31" s="57"/>
    </row>
    <row r="32" spans="1:12">
      <c r="A32" s="209"/>
      <c r="B32" s="209"/>
      <c r="C32" s="209"/>
      <c r="D32" s="209"/>
      <c r="E32" s="209"/>
      <c r="F32" s="57"/>
      <c r="G32" s="57"/>
      <c r="H32" s="57"/>
      <c r="I32" s="57"/>
      <c r="J32" s="57"/>
      <c r="K32" s="57"/>
      <c r="L32" s="57"/>
    </row>
    <row r="33" spans="1:12" ht="15.75" thickBot="1">
      <c r="A33" s="209"/>
      <c r="B33" s="209"/>
      <c r="C33" s="209"/>
      <c r="D33" s="209"/>
      <c r="E33" s="209"/>
      <c r="F33" s="58" t="s">
        <v>97</v>
      </c>
      <c r="G33" s="58">
        <v>1871.8400000000001</v>
      </c>
      <c r="H33" s="58">
        <v>24</v>
      </c>
      <c r="I33" s="58"/>
      <c r="J33" s="58"/>
      <c r="K33" s="58"/>
      <c r="L33" s="58"/>
    </row>
    <row r="34" spans="1:12">
      <c r="A34" s="209"/>
      <c r="B34" s="209"/>
      <c r="C34" s="209"/>
      <c r="D34" s="209"/>
      <c r="E34" s="209"/>
    </row>
    <row r="35" spans="1:12" ht="15.75" thickBot="1">
      <c r="A35" s="209"/>
      <c r="B35" s="209"/>
      <c r="C35" s="209"/>
      <c r="D35" s="209"/>
      <c r="E35" s="209"/>
      <c r="F35" s="19"/>
      <c r="G35" s="19"/>
      <c r="H35" s="19"/>
      <c r="I35" s="19"/>
      <c r="J35" s="19"/>
      <c r="K35" s="19"/>
      <c r="L35" s="19"/>
    </row>
    <row r="36" spans="1:12">
      <c r="A36" s="209"/>
      <c r="B36" s="209"/>
      <c r="C36" s="209"/>
      <c r="D36" s="209"/>
      <c r="E36" s="209"/>
    </row>
    <row r="37" spans="1:12">
      <c r="A37" s="209"/>
      <c r="B37" s="209"/>
      <c r="C37" s="209"/>
      <c r="D37" s="209"/>
      <c r="E37" s="209"/>
    </row>
    <row r="38" spans="1:12">
      <c r="A38" s="209"/>
      <c r="B38" s="209"/>
      <c r="C38" s="209"/>
      <c r="D38" s="209"/>
      <c r="E38" s="209"/>
    </row>
    <row r="39" spans="1:12">
      <c r="A39" s="209"/>
      <c r="B39" s="209"/>
      <c r="C39" s="209"/>
      <c r="D39" s="209"/>
      <c r="E39" s="209"/>
    </row>
    <row r="40" spans="1:12">
      <c r="A40" s="209"/>
      <c r="B40" s="209"/>
      <c r="C40" s="209"/>
      <c r="D40" s="209"/>
      <c r="E40" s="209"/>
    </row>
    <row r="41" spans="1:12">
      <c r="A41" s="209"/>
      <c r="B41" s="209"/>
      <c r="C41" s="209"/>
      <c r="D41" s="209"/>
      <c r="E41" s="209"/>
    </row>
    <row r="42" spans="1:12">
      <c r="A42" s="209"/>
      <c r="B42" s="209"/>
      <c r="C42" s="209"/>
      <c r="D42" s="209"/>
      <c r="E42" s="209"/>
    </row>
    <row r="43" spans="1:12">
      <c r="A43" s="209"/>
      <c r="B43" s="209"/>
      <c r="C43" s="209"/>
      <c r="D43" s="209"/>
      <c r="E43" s="209"/>
    </row>
    <row r="44" spans="1:12">
      <c r="A44" s="209"/>
      <c r="B44" s="209"/>
      <c r="C44" s="209"/>
      <c r="D44" s="209"/>
      <c r="E44" s="209"/>
    </row>
    <row r="45" spans="1:12">
      <c r="A45" s="209"/>
      <c r="B45" s="209"/>
      <c r="C45" s="209"/>
      <c r="D45" s="209"/>
      <c r="E45" s="209"/>
    </row>
    <row r="46" spans="1:12">
      <c r="A46" s="209"/>
      <c r="B46" s="209"/>
      <c r="C46" s="209"/>
      <c r="D46" s="209"/>
      <c r="E46" s="209"/>
    </row>
    <row r="47" spans="1:12">
      <c r="A47" s="209"/>
      <c r="B47" s="209"/>
      <c r="C47" s="209"/>
      <c r="D47" s="209"/>
      <c r="E47" s="209"/>
    </row>
    <row r="48" spans="1:12">
      <c r="A48" s="209"/>
      <c r="B48" s="209"/>
      <c r="C48" s="209"/>
      <c r="D48" s="209"/>
      <c r="E48" s="209"/>
    </row>
    <row r="49" spans="1:5">
      <c r="A49" s="209"/>
      <c r="B49" s="209"/>
      <c r="C49" s="209"/>
      <c r="D49" s="209"/>
      <c r="E49" s="209"/>
    </row>
    <row r="50" spans="1:5">
      <c r="A50" s="209"/>
      <c r="B50" s="209"/>
      <c r="C50" s="209"/>
      <c r="D50" s="209"/>
      <c r="E50" s="209"/>
    </row>
    <row r="51" spans="1:5">
      <c r="A51" s="209"/>
      <c r="B51" s="209"/>
      <c r="C51" s="209"/>
      <c r="D51" s="209"/>
      <c r="E51" s="209"/>
    </row>
    <row r="52" spans="1:5">
      <c r="A52" s="209"/>
      <c r="B52" s="209"/>
      <c r="C52" s="209"/>
      <c r="D52" s="209"/>
      <c r="E52" s="209"/>
    </row>
    <row r="53" spans="1:5">
      <c r="A53" s="209"/>
      <c r="B53" s="209"/>
      <c r="C53" s="209"/>
      <c r="D53" s="209"/>
      <c r="E53" s="209"/>
    </row>
    <row r="54" spans="1:5">
      <c r="A54" s="209"/>
      <c r="B54" s="209"/>
      <c r="C54" s="209"/>
      <c r="D54" s="209"/>
      <c r="E54" s="209"/>
    </row>
    <row r="55" spans="1:5">
      <c r="A55" s="209"/>
      <c r="B55" s="209"/>
      <c r="C55" s="209"/>
      <c r="D55" s="209"/>
      <c r="E55" s="209"/>
    </row>
    <row r="56" spans="1:5">
      <c r="A56" s="209"/>
      <c r="B56" s="209"/>
      <c r="C56" s="209"/>
      <c r="D56" s="209"/>
      <c r="E56" s="209"/>
    </row>
    <row r="57" spans="1:5">
      <c r="A57" s="209"/>
      <c r="B57" s="209"/>
      <c r="C57" s="209"/>
      <c r="D57" s="209"/>
      <c r="E57" s="209"/>
    </row>
    <row r="58" spans="1:5">
      <c r="A58" s="209"/>
      <c r="B58" s="209"/>
      <c r="C58" s="209"/>
      <c r="D58" s="209"/>
      <c r="E58" s="209"/>
    </row>
    <row r="59" spans="1:5">
      <c r="A59" s="209"/>
      <c r="B59" s="209"/>
      <c r="C59" s="209"/>
      <c r="D59" s="209"/>
      <c r="E59" s="209"/>
    </row>
    <row r="60" spans="1:5">
      <c r="A60" s="209"/>
      <c r="B60" s="209"/>
      <c r="C60" s="209"/>
      <c r="D60" s="209"/>
      <c r="E60" s="209"/>
    </row>
    <row r="61" spans="1:5">
      <c r="A61" s="209"/>
      <c r="B61" s="209"/>
      <c r="C61" s="209"/>
      <c r="D61" s="209"/>
      <c r="E61" s="209"/>
    </row>
    <row r="62" spans="1:5">
      <c r="A62" s="209"/>
      <c r="B62" s="209"/>
      <c r="C62" s="209"/>
      <c r="D62" s="209"/>
      <c r="E62" s="209"/>
    </row>
    <row r="63" spans="1:5">
      <c r="A63" s="209"/>
      <c r="B63" s="209"/>
      <c r="C63" s="209"/>
      <c r="D63" s="209"/>
      <c r="E63" s="209"/>
    </row>
    <row r="64" spans="1:5">
      <c r="A64" s="209"/>
      <c r="B64" s="209"/>
      <c r="C64" s="209"/>
      <c r="D64" s="209"/>
      <c r="E64" s="209"/>
    </row>
    <row r="65" spans="1:5">
      <c r="A65" s="209"/>
      <c r="B65" s="209"/>
      <c r="C65" s="209"/>
      <c r="D65" s="209"/>
      <c r="E65" s="209"/>
    </row>
    <row r="66" spans="1:5">
      <c r="A66" s="209"/>
      <c r="B66" s="209"/>
      <c r="C66" s="209"/>
      <c r="D66" s="209"/>
      <c r="E66" s="209"/>
    </row>
    <row r="67" spans="1:5">
      <c r="A67" s="209"/>
      <c r="B67" s="209"/>
      <c r="C67" s="209"/>
      <c r="D67" s="209"/>
      <c r="E67" s="209"/>
    </row>
    <row r="68" spans="1:5">
      <c r="A68" s="209"/>
      <c r="B68" s="209"/>
      <c r="C68" s="209"/>
      <c r="D68" s="209"/>
      <c r="E68" s="209"/>
    </row>
    <row r="69" spans="1:5">
      <c r="A69" s="209"/>
      <c r="B69" s="209"/>
      <c r="C69" s="209"/>
      <c r="D69" s="209"/>
      <c r="E69" s="209"/>
    </row>
    <row r="70" spans="1:5">
      <c r="A70" s="209"/>
      <c r="B70" s="209"/>
      <c r="C70" s="209"/>
      <c r="D70" s="209"/>
      <c r="E70" s="209"/>
    </row>
    <row r="71" spans="1:5">
      <c r="A71" s="209"/>
      <c r="B71" s="209"/>
      <c r="C71" s="209"/>
      <c r="D71" s="209"/>
      <c r="E71" s="209"/>
    </row>
    <row r="72" spans="1:5">
      <c r="A72" s="209"/>
      <c r="B72" s="209"/>
      <c r="C72" s="209"/>
      <c r="D72" s="209"/>
      <c r="E72" s="209"/>
    </row>
    <row r="73" spans="1:5">
      <c r="A73" s="209"/>
      <c r="B73" s="209"/>
      <c r="C73" s="209"/>
      <c r="D73" s="209"/>
      <c r="E73" s="209"/>
    </row>
    <row r="74" spans="1:5">
      <c r="A74" s="209"/>
      <c r="B74" s="209"/>
      <c r="C74" s="209"/>
      <c r="D74" s="209"/>
      <c r="E74" s="209"/>
    </row>
    <row r="75" spans="1:5">
      <c r="A75" s="209"/>
      <c r="B75" s="209"/>
      <c r="C75" s="209"/>
      <c r="D75" s="209"/>
      <c r="E75" s="209"/>
    </row>
    <row r="76" spans="1:5">
      <c r="A76" s="209"/>
      <c r="B76" s="209"/>
      <c r="C76" s="209"/>
      <c r="D76" s="209"/>
      <c r="E76" s="209"/>
    </row>
    <row r="77" spans="1:5">
      <c r="A77" s="209"/>
      <c r="B77" s="209"/>
      <c r="C77" s="209"/>
      <c r="D77" s="209"/>
      <c r="E77" s="209"/>
    </row>
    <row r="78" spans="1:5">
      <c r="A78" s="209"/>
      <c r="B78" s="209"/>
      <c r="C78" s="209"/>
      <c r="D78" s="209"/>
      <c r="E78" s="209"/>
    </row>
    <row r="79" spans="1:5">
      <c r="A79" s="209"/>
      <c r="B79" s="209"/>
      <c r="C79" s="209"/>
      <c r="D79" s="209"/>
      <c r="E79" s="209"/>
    </row>
    <row r="80" spans="1:5">
      <c r="A80" s="209"/>
      <c r="B80" s="209"/>
      <c r="C80" s="209"/>
      <c r="D80" s="209"/>
      <c r="E80" s="209"/>
    </row>
    <row r="81" spans="1:5">
      <c r="A81" s="209"/>
      <c r="B81" s="209"/>
      <c r="C81" s="209"/>
      <c r="D81" s="209"/>
      <c r="E81" s="209"/>
    </row>
    <row r="82" spans="1:5">
      <c r="A82" s="209"/>
      <c r="B82" s="209"/>
      <c r="C82" s="209"/>
      <c r="D82" s="209"/>
      <c r="E82" s="209"/>
    </row>
    <row r="83" spans="1:5">
      <c r="A83" s="209"/>
      <c r="B83" s="209"/>
      <c r="C83" s="209"/>
      <c r="D83" s="209"/>
      <c r="E83" s="209"/>
    </row>
    <row r="84" spans="1:5">
      <c r="A84" s="209"/>
      <c r="B84" s="209"/>
      <c r="C84" s="209"/>
      <c r="D84" s="209"/>
      <c r="E84" s="209"/>
    </row>
    <row r="85" spans="1:5">
      <c r="A85" s="209"/>
      <c r="B85" s="209"/>
      <c r="C85" s="209"/>
      <c r="D85" s="209"/>
      <c r="E85" s="209"/>
    </row>
    <row r="86" spans="1:5">
      <c r="A86" s="209"/>
      <c r="B86" s="209"/>
      <c r="C86" s="209"/>
      <c r="D86" s="209"/>
      <c r="E86" s="209"/>
    </row>
    <row r="87" spans="1:5">
      <c r="A87" s="209"/>
      <c r="B87" s="209"/>
      <c r="C87" s="209"/>
      <c r="D87" s="209"/>
      <c r="E87" s="209"/>
    </row>
    <row r="88" spans="1:5">
      <c r="A88" s="209"/>
      <c r="B88" s="209"/>
      <c r="C88" s="209"/>
      <c r="D88" s="209"/>
      <c r="E88" s="209"/>
    </row>
    <row r="89" spans="1:5">
      <c r="A89" s="209"/>
      <c r="B89" s="209"/>
      <c r="C89" s="209"/>
      <c r="D89" s="209"/>
      <c r="E89" s="209"/>
    </row>
    <row r="90" spans="1:5">
      <c r="A90" s="209"/>
      <c r="B90" s="209"/>
      <c r="C90" s="209"/>
      <c r="D90" s="209"/>
      <c r="E90" s="209"/>
    </row>
    <row r="91" spans="1:5">
      <c r="A91" s="209"/>
      <c r="B91" s="209"/>
      <c r="C91" s="209"/>
      <c r="D91" s="209"/>
      <c r="E91" s="209"/>
    </row>
    <row r="92" spans="1:5">
      <c r="A92" s="209"/>
      <c r="B92" s="209"/>
      <c r="C92" s="209"/>
      <c r="D92" s="209"/>
      <c r="E92" s="209"/>
    </row>
    <row r="93" spans="1:5">
      <c r="A93" s="209"/>
      <c r="B93" s="209"/>
      <c r="C93" s="209"/>
      <c r="D93" s="209"/>
      <c r="E93" s="209"/>
    </row>
    <row r="94" spans="1:5">
      <c r="A94" s="209"/>
      <c r="B94" s="209"/>
      <c r="C94" s="209"/>
      <c r="D94" s="209"/>
      <c r="E94" s="209"/>
    </row>
    <row r="95" spans="1:5">
      <c r="A95" s="209"/>
      <c r="B95" s="209"/>
      <c r="C95" s="209"/>
      <c r="D95" s="209"/>
      <c r="E95" s="209"/>
    </row>
    <row r="96" spans="1:5">
      <c r="A96" s="209"/>
      <c r="B96" s="209"/>
      <c r="C96" s="209"/>
      <c r="D96" s="209"/>
      <c r="E96" s="209"/>
    </row>
    <row r="97" spans="1:5">
      <c r="A97" s="209"/>
      <c r="B97" s="209"/>
      <c r="C97" s="209"/>
      <c r="D97" s="209"/>
      <c r="E97" s="209"/>
    </row>
    <row r="98" spans="1:5">
      <c r="A98" s="209"/>
      <c r="B98" s="209"/>
      <c r="C98" s="209"/>
      <c r="D98" s="209"/>
      <c r="E98" s="209"/>
    </row>
    <row r="99" spans="1:5">
      <c r="A99" s="209"/>
      <c r="B99" s="209"/>
      <c r="C99" s="209"/>
      <c r="D99" s="209"/>
      <c r="E99" s="209"/>
    </row>
    <row r="100" spans="1:5">
      <c r="A100" s="209"/>
      <c r="B100" s="209"/>
      <c r="C100" s="209"/>
      <c r="D100" s="209"/>
      <c r="E100" s="209"/>
    </row>
    <row r="101" spans="1:5">
      <c r="A101" s="209"/>
      <c r="B101" s="209"/>
      <c r="C101" s="209"/>
      <c r="D101" s="209"/>
      <c r="E101" s="209"/>
    </row>
    <row r="102" spans="1:5">
      <c r="A102" s="209"/>
      <c r="B102" s="209"/>
      <c r="C102" s="209"/>
      <c r="D102" s="209"/>
      <c r="E102" s="209"/>
    </row>
  </sheetData>
  <sheetProtection sheet="1" objects="1" scenarios="1" selectLockedCells="1"/>
  <hyperlinks>
    <hyperlink ref="G2" r:id="rId1" xr:uid="{00000000-0004-0000-0B00-000000000000}"/>
    <hyperlink ref="C6" r:id="rId2" xr:uid="{00000000-0004-0000-0B00-000001000000}"/>
    <hyperlink ref="G8" r:id="rId3" xr:uid="{00000000-0004-0000-0B00-000002000000}"/>
  </hyperlinks>
  <pageMargins left="0.7" right="0.7" top="0.75" bottom="0.75" header="0.3" footer="0.3"/>
  <pageSetup orientation="portrait" horizontalDpi="0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01"/>
  <sheetViews>
    <sheetView workbookViewId="0">
      <selection activeCell="D9" sqref="D9"/>
    </sheetView>
  </sheetViews>
  <sheetFormatPr defaultColWidth="9.140625" defaultRowHeight="15"/>
  <cols>
    <col min="1" max="1" width="18.28515625" style="253" customWidth="1"/>
    <col min="2" max="2" width="10.28515625" style="254" bestFit="1" customWidth="1"/>
    <col min="3" max="3" width="18.28515625" style="258" bestFit="1" customWidth="1"/>
    <col min="4" max="16384" width="9.140625" style="255"/>
  </cols>
  <sheetData>
    <row r="1" spans="1:3" ht="30">
      <c r="A1" s="256" t="s">
        <v>85</v>
      </c>
      <c r="B1" s="256" t="s">
        <v>86</v>
      </c>
      <c r="C1" s="257" t="s">
        <v>87</v>
      </c>
    </row>
    <row r="2" spans="1:3">
      <c r="A2" s="253" t="s">
        <v>88</v>
      </c>
      <c r="B2" s="254">
        <v>5</v>
      </c>
      <c r="C2" s="258">
        <f>IF(B2="","",B2/SUM(B:B))</f>
        <v>0.1</v>
      </c>
    </row>
    <row r="3" spans="1:3">
      <c r="A3" s="253" t="s">
        <v>89</v>
      </c>
      <c r="B3" s="254">
        <v>12</v>
      </c>
      <c r="C3" s="258">
        <f t="shared" ref="C3:C66" si="0">IF(B3="","",B3/SUM(B:B))</f>
        <v>0.24</v>
      </c>
    </row>
    <row r="4" spans="1:3">
      <c r="A4" s="253" t="s">
        <v>90</v>
      </c>
      <c r="B4" s="254">
        <v>6</v>
      </c>
      <c r="C4" s="258">
        <f t="shared" si="0"/>
        <v>0.12</v>
      </c>
    </row>
    <row r="5" spans="1:3">
      <c r="A5" s="253" t="s">
        <v>91</v>
      </c>
      <c r="B5" s="254">
        <v>12</v>
      </c>
      <c r="C5" s="258">
        <f t="shared" si="0"/>
        <v>0.24</v>
      </c>
    </row>
    <row r="6" spans="1:3">
      <c r="A6" s="253" t="s">
        <v>92</v>
      </c>
      <c r="B6" s="254">
        <v>10</v>
      </c>
      <c r="C6" s="258">
        <f t="shared" si="0"/>
        <v>0.2</v>
      </c>
    </row>
    <row r="7" spans="1:3">
      <c r="A7" s="253" t="s">
        <v>93</v>
      </c>
      <c r="B7" s="254">
        <v>5</v>
      </c>
      <c r="C7" s="258">
        <f t="shared" si="0"/>
        <v>0.1</v>
      </c>
    </row>
    <row r="8" spans="1:3">
      <c r="C8" s="258" t="str">
        <f t="shared" si="0"/>
        <v/>
      </c>
    </row>
    <row r="9" spans="1:3">
      <c r="C9" s="258" t="str">
        <f t="shared" si="0"/>
        <v/>
      </c>
    </row>
    <row r="10" spans="1:3">
      <c r="C10" s="258" t="str">
        <f t="shared" si="0"/>
        <v/>
      </c>
    </row>
    <row r="11" spans="1:3">
      <c r="C11" s="258" t="str">
        <f t="shared" si="0"/>
        <v/>
      </c>
    </row>
    <row r="12" spans="1:3">
      <c r="C12" s="258" t="str">
        <f t="shared" si="0"/>
        <v/>
      </c>
    </row>
    <row r="13" spans="1:3">
      <c r="C13" s="258" t="str">
        <f t="shared" si="0"/>
        <v/>
      </c>
    </row>
    <row r="14" spans="1:3">
      <c r="C14" s="258" t="str">
        <f t="shared" si="0"/>
        <v/>
      </c>
    </row>
    <row r="15" spans="1:3">
      <c r="C15" s="258" t="str">
        <f t="shared" si="0"/>
        <v/>
      </c>
    </row>
    <row r="16" spans="1:3">
      <c r="C16" s="258" t="str">
        <f t="shared" si="0"/>
        <v/>
      </c>
    </row>
    <row r="17" spans="3:3">
      <c r="C17" s="258" t="str">
        <f t="shared" si="0"/>
        <v/>
      </c>
    </row>
    <row r="18" spans="3:3">
      <c r="C18" s="258" t="str">
        <f t="shared" si="0"/>
        <v/>
      </c>
    </row>
    <row r="19" spans="3:3">
      <c r="C19" s="258" t="str">
        <f t="shared" si="0"/>
        <v/>
      </c>
    </row>
    <row r="20" spans="3:3">
      <c r="C20" s="258" t="str">
        <f t="shared" si="0"/>
        <v/>
      </c>
    </row>
    <row r="21" spans="3:3">
      <c r="C21" s="258" t="str">
        <f t="shared" si="0"/>
        <v/>
      </c>
    </row>
    <row r="22" spans="3:3">
      <c r="C22" s="258" t="str">
        <f t="shared" si="0"/>
        <v/>
      </c>
    </row>
    <row r="23" spans="3:3">
      <c r="C23" s="258" t="str">
        <f t="shared" si="0"/>
        <v/>
      </c>
    </row>
    <row r="24" spans="3:3">
      <c r="C24" s="258" t="str">
        <f t="shared" si="0"/>
        <v/>
      </c>
    </row>
    <row r="25" spans="3:3">
      <c r="C25" s="258" t="str">
        <f t="shared" si="0"/>
        <v/>
      </c>
    </row>
    <row r="26" spans="3:3">
      <c r="C26" s="258" t="str">
        <f t="shared" si="0"/>
        <v/>
      </c>
    </row>
    <row r="27" spans="3:3">
      <c r="C27" s="258" t="str">
        <f t="shared" si="0"/>
        <v/>
      </c>
    </row>
    <row r="28" spans="3:3">
      <c r="C28" s="258" t="str">
        <f t="shared" si="0"/>
        <v/>
      </c>
    </row>
    <row r="29" spans="3:3">
      <c r="C29" s="258" t="str">
        <f t="shared" si="0"/>
        <v/>
      </c>
    </row>
    <row r="30" spans="3:3">
      <c r="C30" s="258" t="str">
        <f t="shared" si="0"/>
        <v/>
      </c>
    </row>
    <row r="31" spans="3:3">
      <c r="C31" s="258" t="str">
        <f t="shared" si="0"/>
        <v/>
      </c>
    </row>
    <row r="32" spans="3:3">
      <c r="C32" s="258" t="str">
        <f t="shared" si="0"/>
        <v/>
      </c>
    </row>
    <row r="33" spans="3:3">
      <c r="C33" s="258" t="str">
        <f t="shared" si="0"/>
        <v/>
      </c>
    </row>
    <row r="34" spans="3:3">
      <c r="C34" s="258" t="str">
        <f t="shared" si="0"/>
        <v/>
      </c>
    </row>
    <row r="35" spans="3:3">
      <c r="C35" s="258" t="str">
        <f t="shared" si="0"/>
        <v/>
      </c>
    </row>
    <row r="36" spans="3:3">
      <c r="C36" s="258" t="str">
        <f t="shared" si="0"/>
        <v/>
      </c>
    </row>
    <row r="37" spans="3:3">
      <c r="C37" s="258" t="str">
        <f t="shared" si="0"/>
        <v/>
      </c>
    </row>
    <row r="38" spans="3:3">
      <c r="C38" s="258" t="str">
        <f t="shared" si="0"/>
        <v/>
      </c>
    </row>
    <row r="39" spans="3:3">
      <c r="C39" s="258" t="str">
        <f t="shared" si="0"/>
        <v/>
      </c>
    </row>
    <row r="40" spans="3:3">
      <c r="C40" s="258" t="str">
        <f t="shared" si="0"/>
        <v/>
      </c>
    </row>
    <row r="41" spans="3:3">
      <c r="C41" s="258" t="str">
        <f t="shared" si="0"/>
        <v/>
      </c>
    </row>
    <row r="42" spans="3:3">
      <c r="C42" s="258" t="str">
        <f t="shared" si="0"/>
        <v/>
      </c>
    </row>
    <row r="43" spans="3:3">
      <c r="C43" s="258" t="str">
        <f t="shared" si="0"/>
        <v/>
      </c>
    </row>
    <row r="44" spans="3:3">
      <c r="C44" s="258" t="str">
        <f t="shared" si="0"/>
        <v/>
      </c>
    </row>
    <row r="45" spans="3:3">
      <c r="C45" s="258" t="str">
        <f t="shared" si="0"/>
        <v/>
      </c>
    </row>
    <row r="46" spans="3:3">
      <c r="C46" s="258" t="str">
        <f t="shared" si="0"/>
        <v/>
      </c>
    </row>
    <row r="47" spans="3:3">
      <c r="C47" s="258" t="str">
        <f t="shared" si="0"/>
        <v/>
      </c>
    </row>
    <row r="48" spans="3:3">
      <c r="C48" s="258" t="str">
        <f t="shared" si="0"/>
        <v/>
      </c>
    </row>
    <row r="49" spans="3:3">
      <c r="C49" s="258" t="str">
        <f t="shared" si="0"/>
        <v/>
      </c>
    </row>
    <row r="50" spans="3:3">
      <c r="C50" s="258" t="str">
        <f t="shared" si="0"/>
        <v/>
      </c>
    </row>
    <row r="51" spans="3:3">
      <c r="C51" s="258" t="str">
        <f t="shared" si="0"/>
        <v/>
      </c>
    </row>
    <row r="52" spans="3:3">
      <c r="C52" s="258" t="str">
        <f t="shared" si="0"/>
        <v/>
      </c>
    </row>
    <row r="53" spans="3:3">
      <c r="C53" s="258" t="str">
        <f t="shared" si="0"/>
        <v/>
      </c>
    </row>
    <row r="54" spans="3:3">
      <c r="C54" s="258" t="str">
        <f t="shared" si="0"/>
        <v/>
      </c>
    </row>
    <row r="55" spans="3:3">
      <c r="C55" s="258" t="str">
        <f t="shared" si="0"/>
        <v/>
      </c>
    </row>
    <row r="56" spans="3:3">
      <c r="C56" s="258" t="str">
        <f t="shared" si="0"/>
        <v/>
      </c>
    </row>
    <row r="57" spans="3:3">
      <c r="C57" s="258" t="str">
        <f t="shared" si="0"/>
        <v/>
      </c>
    </row>
    <row r="58" spans="3:3">
      <c r="C58" s="258" t="str">
        <f t="shared" si="0"/>
        <v/>
      </c>
    </row>
    <row r="59" spans="3:3">
      <c r="C59" s="258" t="str">
        <f t="shared" si="0"/>
        <v/>
      </c>
    </row>
    <row r="60" spans="3:3">
      <c r="C60" s="258" t="str">
        <f t="shared" si="0"/>
        <v/>
      </c>
    </row>
    <row r="61" spans="3:3">
      <c r="C61" s="258" t="str">
        <f t="shared" si="0"/>
        <v/>
      </c>
    </row>
    <row r="62" spans="3:3">
      <c r="C62" s="258" t="str">
        <f t="shared" si="0"/>
        <v/>
      </c>
    </row>
    <row r="63" spans="3:3">
      <c r="C63" s="258" t="str">
        <f t="shared" si="0"/>
        <v/>
      </c>
    </row>
    <row r="64" spans="3:3">
      <c r="C64" s="258" t="str">
        <f t="shared" si="0"/>
        <v/>
      </c>
    </row>
    <row r="65" spans="3:3">
      <c r="C65" s="258" t="str">
        <f t="shared" si="0"/>
        <v/>
      </c>
    </row>
    <row r="66" spans="3:3">
      <c r="C66" s="258" t="str">
        <f t="shared" si="0"/>
        <v/>
      </c>
    </row>
    <row r="67" spans="3:3">
      <c r="C67" s="258" t="str">
        <f t="shared" ref="C67:C100" si="1">IF(B67="","",B67/SUM(B:B))</f>
        <v/>
      </c>
    </row>
    <row r="68" spans="3:3">
      <c r="C68" s="258" t="str">
        <f t="shared" si="1"/>
        <v/>
      </c>
    </row>
    <row r="69" spans="3:3">
      <c r="C69" s="258" t="str">
        <f t="shared" si="1"/>
        <v/>
      </c>
    </row>
    <row r="70" spans="3:3">
      <c r="C70" s="258" t="str">
        <f t="shared" si="1"/>
        <v/>
      </c>
    </row>
    <row r="71" spans="3:3">
      <c r="C71" s="258" t="str">
        <f t="shared" si="1"/>
        <v/>
      </c>
    </row>
    <row r="72" spans="3:3">
      <c r="C72" s="258" t="str">
        <f t="shared" si="1"/>
        <v/>
      </c>
    </row>
    <row r="73" spans="3:3">
      <c r="C73" s="258" t="str">
        <f t="shared" si="1"/>
        <v/>
      </c>
    </row>
    <row r="74" spans="3:3">
      <c r="C74" s="258" t="str">
        <f t="shared" si="1"/>
        <v/>
      </c>
    </row>
    <row r="75" spans="3:3">
      <c r="C75" s="258" t="str">
        <f t="shared" si="1"/>
        <v/>
      </c>
    </row>
    <row r="76" spans="3:3">
      <c r="C76" s="258" t="str">
        <f t="shared" si="1"/>
        <v/>
      </c>
    </row>
    <row r="77" spans="3:3">
      <c r="C77" s="258" t="str">
        <f t="shared" si="1"/>
        <v/>
      </c>
    </row>
    <row r="78" spans="3:3">
      <c r="C78" s="258" t="str">
        <f t="shared" si="1"/>
        <v/>
      </c>
    </row>
    <row r="79" spans="3:3">
      <c r="C79" s="258" t="str">
        <f t="shared" si="1"/>
        <v/>
      </c>
    </row>
    <row r="80" spans="3:3">
      <c r="C80" s="258" t="str">
        <f t="shared" si="1"/>
        <v/>
      </c>
    </row>
    <row r="81" spans="3:3">
      <c r="C81" s="258" t="str">
        <f t="shared" si="1"/>
        <v/>
      </c>
    </row>
    <row r="82" spans="3:3">
      <c r="C82" s="258" t="str">
        <f t="shared" si="1"/>
        <v/>
      </c>
    </row>
    <row r="83" spans="3:3">
      <c r="C83" s="258" t="str">
        <f t="shared" si="1"/>
        <v/>
      </c>
    </row>
    <row r="84" spans="3:3">
      <c r="C84" s="258" t="str">
        <f t="shared" si="1"/>
        <v/>
      </c>
    </row>
    <row r="85" spans="3:3">
      <c r="C85" s="258" t="str">
        <f t="shared" si="1"/>
        <v/>
      </c>
    </row>
    <row r="86" spans="3:3">
      <c r="C86" s="258" t="str">
        <f t="shared" si="1"/>
        <v/>
      </c>
    </row>
    <row r="87" spans="3:3">
      <c r="C87" s="258" t="str">
        <f t="shared" si="1"/>
        <v/>
      </c>
    </row>
    <row r="88" spans="3:3">
      <c r="C88" s="258" t="str">
        <f t="shared" si="1"/>
        <v/>
      </c>
    </row>
    <row r="89" spans="3:3">
      <c r="C89" s="258" t="str">
        <f t="shared" si="1"/>
        <v/>
      </c>
    </row>
    <row r="90" spans="3:3">
      <c r="C90" s="258" t="str">
        <f t="shared" si="1"/>
        <v/>
      </c>
    </row>
    <row r="91" spans="3:3">
      <c r="C91" s="258" t="str">
        <f t="shared" si="1"/>
        <v/>
      </c>
    </row>
    <row r="92" spans="3:3">
      <c r="C92" s="258" t="str">
        <f t="shared" si="1"/>
        <v/>
      </c>
    </row>
    <row r="93" spans="3:3">
      <c r="C93" s="258" t="str">
        <f t="shared" si="1"/>
        <v/>
      </c>
    </row>
    <row r="94" spans="3:3">
      <c r="C94" s="258" t="str">
        <f t="shared" si="1"/>
        <v/>
      </c>
    </row>
    <row r="95" spans="3:3">
      <c r="C95" s="258" t="str">
        <f t="shared" si="1"/>
        <v/>
      </c>
    </row>
    <row r="96" spans="3:3">
      <c r="C96" s="258" t="str">
        <f t="shared" si="1"/>
        <v/>
      </c>
    </row>
    <row r="97" spans="3:3">
      <c r="C97" s="258" t="str">
        <f t="shared" si="1"/>
        <v/>
      </c>
    </row>
    <row r="98" spans="3:3">
      <c r="C98" s="258" t="str">
        <f t="shared" si="1"/>
        <v/>
      </c>
    </row>
    <row r="99" spans="3:3">
      <c r="C99" s="258" t="str">
        <f t="shared" si="1"/>
        <v/>
      </c>
    </row>
    <row r="100" spans="3:3">
      <c r="C100" s="258" t="str">
        <f t="shared" si="1"/>
        <v/>
      </c>
    </row>
    <row r="101" spans="3:3">
      <c r="C101" s="258" t="str">
        <f>IF(B101="","",B101/SUM(B:B))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3"/>
  <sheetViews>
    <sheetView topLeftCell="A4" zoomScale="110" zoomScaleNormal="110" workbookViewId="0">
      <selection activeCell="B12" sqref="B12"/>
    </sheetView>
  </sheetViews>
  <sheetFormatPr defaultColWidth="9.140625" defaultRowHeight="12.75"/>
  <cols>
    <col min="1" max="1" width="12.85546875" style="12" customWidth="1"/>
    <col min="2" max="3" width="11.7109375" style="12" bestFit="1" customWidth="1"/>
    <col min="4" max="4" width="9.140625" style="12"/>
    <col min="5" max="5" width="10.42578125" style="12" customWidth="1"/>
    <col min="6" max="7" width="11.7109375" style="12" bestFit="1" customWidth="1"/>
    <col min="8" max="8" width="12.42578125" style="12" customWidth="1"/>
    <col min="9" max="16384" width="9.140625" style="12"/>
  </cols>
  <sheetData>
    <row r="1" spans="1:8">
      <c r="A1" s="12" t="s">
        <v>94</v>
      </c>
    </row>
    <row r="3" spans="1:8">
      <c r="A3" s="304" t="s">
        <v>95</v>
      </c>
      <c r="B3" s="305"/>
    </row>
    <row r="4" spans="1:8" s="13" customFormat="1" ht="27" customHeight="1">
      <c r="A4" s="12"/>
      <c r="B4" s="13" t="s">
        <v>86</v>
      </c>
      <c r="C4" s="13" t="s">
        <v>96</v>
      </c>
    </row>
    <row r="5" spans="1:8">
      <c r="A5" s="110" t="s">
        <v>88</v>
      </c>
      <c r="B5" s="111">
        <v>5</v>
      </c>
      <c r="C5" s="67">
        <f t="shared" ref="C5:C12" si="0">B5/B$13</f>
        <v>0.1</v>
      </c>
      <c r="D5" s="14"/>
      <c r="H5" s="14"/>
    </row>
    <row r="6" spans="1:8">
      <c r="A6" s="110" t="s">
        <v>89</v>
      </c>
      <c r="B6" s="111">
        <v>12</v>
      </c>
      <c r="C6" s="67">
        <f t="shared" si="0"/>
        <v>0.24</v>
      </c>
      <c r="D6" s="14"/>
      <c r="H6" s="14"/>
    </row>
    <row r="7" spans="1:8">
      <c r="A7" s="110" t="s">
        <v>90</v>
      </c>
      <c r="B7" s="111">
        <v>6</v>
      </c>
      <c r="C7" s="67">
        <f t="shared" si="0"/>
        <v>0.12</v>
      </c>
      <c r="D7" s="14"/>
      <c r="H7" s="14"/>
    </row>
    <row r="8" spans="1:8">
      <c r="A8" s="110" t="s">
        <v>91</v>
      </c>
      <c r="B8" s="111">
        <v>12</v>
      </c>
      <c r="C8" s="67">
        <f t="shared" si="0"/>
        <v>0.24</v>
      </c>
      <c r="D8" s="14"/>
      <c r="H8" s="14"/>
    </row>
    <row r="9" spans="1:8">
      <c r="A9" s="110" t="s">
        <v>92</v>
      </c>
      <c r="B9" s="111">
        <v>10</v>
      </c>
      <c r="C9" s="67">
        <f t="shared" si="0"/>
        <v>0.2</v>
      </c>
      <c r="D9" s="14"/>
      <c r="H9" s="14"/>
    </row>
    <row r="10" spans="1:8">
      <c r="A10" s="110" t="s">
        <v>93</v>
      </c>
      <c r="B10" s="111">
        <v>5</v>
      </c>
      <c r="C10" s="67">
        <f t="shared" si="0"/>
        <v>0.1</v>
      </c>
      <c r="D10" s="14"/>
      <c r="H10" s="14"/>
    </row>
    <row r="11" spans="1:8">
      <c r="A11" s="110"/>
      <c r="B11" s="111"/>
      <c r="C11" s="67">
        <f t="shared" si="0"/>
        <v>0</v>
      </c>
      <c r="D11" s="14"/>
      <c r="H11" s="14"/>
    </row>
    <row r="12" spans="1:8">
      <c r="A12" s="110"/>
      <c r="B12" s="111"/>
      <c r="C12" s="67">
        <f t="shared" si="0"/>
        <v>0</v>
      </c>
      <c r="D12" s="14"/>
      <c r="H12" s="14"/>
    </row>
    <row r="13" spans="1:8">
      <c r="A13" s="15" t="s">
        <v>97</v>
      </c>
      <c r="B13" s="69">
        <f>SUM(B5:B12)</f>
        <v>50</v>
      </c>
      <c r="C13" s="68">
        <f>SUM(C5:C12)</f>
        <v>0.99999999999999989</v>
      </c>
      <c r="D13" s="17"/>
      <c r="F13" s="15"/>
      <c r="G13" s="16"/>
      <c r="H13" s="17"/>
    </row>
  </sheetData>
  <sheetProtection sheet="1" objects="1" scenarios="1" selectLockedCells="1"/>
  <mergeCells count="1">
    <mergeCell ref="A3:B3"/>
  </mergeCells>
  <pageMargins left="0.75" right="0.75" top="1" bottom="1" header="0.5" footer="0.5"/>
  <pageSetup orientation="portrait" horizontalDpi="0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84"/>
  <sheetViews>
    <sheetView zoomScale="120" zoomScaleNormal="120" workbookViewId="0">
      <selection activeCell="A6" sqref="A6"/>
    </sheetView>
  </sheetViews>
  <sheetFormatPr defaultRowHeight="15"/>
  <cols>
    <col min="1" max="1" width="9.140625" style="106"/>
    <col min="2" max="2" width="0" hidden="1" customWidth="1"/>
    <col min="3" max="3" width="11.7109375" style="32" customWidth="1"/>
    <col min="4" max="4" width="12.42578125" style="25" customWidth="1"/>
    <col min="27" max="27" width="9.140625" style="25"/>
  </cols>
  <sheetData>
    <row r="1" spans="1:27" ht="18">
      <c r="A1" s="210" t="s">
        <v>98</v>
      </c>
      <c r="C1" s="24"/>
      <c r="D1"/>
      <c r="F1" t="s">
        <v>99</v>
      </c>
      <c r="O1" s="29" t="s">
        <v>100</v>
      </c>
    </row>
    <row r="2" spans="1:27">
      <c r="A2" s="211"/>
      <c r="B2" s="34"/>
      <c r="C2" s="212" t="s">
        <v>101</v>
      </c>
      <c r="D2" s="105">
        <v>2.2000000000000002</v>
      </c>
      <c r="F2" t="s">
        <v>102</v>
      </c>
      <c r="O2" s="22" t="s">
        <v>103</v>
      </c>
    </row>
    <row r="3" spans="1:27">
      <c r="A3" s="211"/>
      <c r="B3" s="34"/>
      <c r="C3" s="212" t="s">
        <v>104</v>
      </c>
      <c r="D3" s="105">
        <v>10</v>
      </c>
      <c r="F3" t="s">
        <v>105</v>
      </c>
      <c r="O3" s="22"/>
    </row>
    <row r="4" spans="1:27">
      <c r="A4" s="213"/>
      <c r="C4" s="306" t="s">
        <v>106</v>
      </c>
      <c r="D4" s="306"/>
      <c r="E4" s="25"/>
      <c r="N4" s="21"/>
      <c r="O4" s="22" t="s">
        <v>107</v>
      </c>
    </row>
    <row r="5" spans="1:27">
      <c r="A5" s="26" t="s">
        <v>108</v>
      </c>
      <c r="B5" s="28"/>
      <c r="C5" s="33" t="s">
        <v>109</v>
      </c>
      <c r="D5" s="26" t="s">
        <v>45</v>
      </c>
      <c r="E5" s="26" t="s">
        <v>110</v>
      </c>
      <c r="L5" s="24"/>
      <c r="Z5" t="s">
        <v>111</v>
      </c>
      <c r="AA5" s="26" t="s">
        <v>112</v>
      </c>
    </row>
    <row r="6" spans="1:27">
      <c r="A6" s="106">
        <v>19.5</v>
      </c>
      <c r="B6" s="23"/>
      <c r="C6" s="25">
        <f>D2</f>
        <v>2.2000000000000002</v>
      </c>
      <c r="D6" s="25">
        <f>C7</f>
        <v>12.2</v>
      </c>
      <c r="E6" s="25">
        <f>IF(D6="",1,COUNTIF(A:A,"&lt;="&amp;D6)-COUNTIF(A:A,"&lt;"&amp;C6))</f>
        <v>6</v>
      </c>
      <c r="AA6" s="25" t="str">
        <f t="shared" ref="AA6:AA37" si="0">CONCATENATE(C6,$Z$5,D6)</f>
        <v>2.2-12.2</v>
      </c>
    </row>
    <row r="7" spans="1:27">
      <c r="A7" s="106">
        <v>40.799999999999997</v>
      </c>
      <c r="B7" s="23"/>
      <c r="C7" s="25">
        <f>C6+D$3</f>
        <v>12.2</v>
      </c>
      <c r="D7" s="25">
        <f t="shared" ref="D7:D19" si="1">D6+D$3</f>
        <v>22.2</v>
      </c>
      <c r="E7" s="25">
        <f t="shared" ref="E7:E15" si="2">IF(D7="","",COUNTIF(A:A,"&lt;="&amp;D7)-COUNTIF(A:A,"&lt;="&amp;D6))</f>
        <v>22</v>
      </c>
      <c r="AA7" s="25" t="str">
        <f t="shared" si="0"/>
        <v>12.2-22.2</v>
      </c>
    </row>
    <row r="8" spans="1:27">
      <c r="A8" s="106">
        <v>57</v>
      </c>
      <c r="B8" s="23"/>
      <c r="C8" s="25">
        <f t="shared" ref="C8:C15" si="3">C7+D$3</f>
        <v>22.2</v>
      </c>
      <c r="D8" s="25">
        <f t="shared" si="1"/>
        <v>32.200000000000003</v>
      </c>
      <c r="E8" s="25">
        <f t="shared" si="2"/>
        <v>10</v>
      </c>
      <c r="AA8" s="25" t="str">
        <f t="shared" si="0"/>
        <v>22.2-32.2</v>
      </c>
    </row>
    <row r="9" spans="1:27">
      <c r="A9" s="106">
        <v>15.1</v>
      </c>
      <c r="B9" s="23"/>
      <c r="C9" s="25">
        <f t="shared" si="3"/>
        <v>32.200000000000003</v>
      </c>
      <c r="D9" s="25">
        <f t="shared" si="1"/>
        <v>42.2</v>
      </c>
      <c r="E9" s="25">
        <f t="shared" si="2"/>
        <v>4</v>
      </c>
      <c r="AA9" s="25" t="str">
        <f t="shared" si="0"/>
        <v>32.2-42.2</v>
      </c>
    </row>
    <row r="10" spans="1:27">
      <c r="A10" s="106">
        <v>17.399999999999999</v>
      </c>
      <c r="B10" s="23"/>
      <c r="C10" s="25">
        <f t="shared" si="3"/>
        <v>42.2</v>
      </c>
      <c r="D10" s="25">
        <f t="shared" si="1"/>
        <v>52.2</v>
      </c>
      <c r="E10" s="25">
        <f t="shared" si="2"/>
        <v>2</v>
      </c>
      <c r="AA10" s="25" t="str">
        <f t="shared" si="0"/>
        <v>42.2-52.2</v>
      </c>
    </row>
    <row r="11" spans="1:27">
      <c r="A11" s="106">
        <v>5.2</v>
      </c>
      <c r="B11" s="23"/>
      <c r="C11" s="25">
        <f t="shared" si="3"/>
        <v>52.2</v>
      </c>
      <c r="D11" s="25">
        <f t="shared" si="1"/>
        <v>62.2</v>
      </c>
      <c r="E11" s="25">
        <f t="shared" si="2"/>
        <v>1</v>
      </c>
      <c r="AA11" s="25" t="str">
        <f t="shared" si="0"/>
        <v>52.2-62.2</v>
      </c>
    </row>
    <row r="12" spans="1:27">
      <c r="A12" s="106">
        <v>13</v>
      </c>
      <c r="B12" s="23"/>
      <c r="C12" s="25">
        <f t="shared" si="3"/>
        <v>62.2</v>
      </c>
      <c r="D12" s="25">
        <f t="shared" si="1"/>
        <v>72.2</v>
      </c>
      <c r="E12" s="25">
        <f t="shared" si="2"/>
        <v>4</v>
      </c>
      <c r="AA12" s="25" t="str">
        <f t="shared" si="0"/>
        <v>62.2-72.2</v>
      </c>
    </row>
    <row r="13" spans="1:27">
      <c r="A13" s="106">
        <v>15.6</v>
      </c>
      <c r="B13" s="23"/>
      <c r="C13" s="25">
        <f t="shared" si="3"/>
        <v>72.2</v>
      </c>
      <c r="D13" s="25">
        <f t="shared" si="1"/>
        <v>82.2</v>
      </c>
      <c r="E13" s="25">
        <f t="shared" si="2"/>
        <v>1</v>
      </c>
      <c r="AA13" s="25" t="str">
        <f t="shared" si="0"/>
        <v>72.2-82.2</v>
      </c>
    </row>
    <row r="14" spans="1:27">
      <c r="A14" s="106">
        <v>51.5</v>
      </c>
      <c r="B14" s="23"/>
      <c r="C14" s="25">
        <f t="shared" si="3"/>
        <v>82.2</v>
      </c>
      <c r="D14" s="25">
        <f t="shared" si="1"/>
        <v>92.2</v>
      </c>
      <c r="E14" s="25">
        <f t="shared" si="2"/>
        <v>0</v>
      </c>
      <c r="AA14" s="25" t="str">
        <f t="shared" si="0"/>
        <v>82.2-92.2</v>
      </c>
    </row>
    <row r="15" spans="1:27">
      <c r="A15" s="106">
        <v>15.6</v>
      </c>
      <c r="B15" s="23"/>
      <c r="C15" s="25">
        <f t="shared" si="3"/>
        <v>92.2</v>
      </c>
      <c r="D15" s="25">
        <f t="shared" si="1"/>
        <v>102.2</v>
      </c>
      <c r="E15" s="25">
        <f t="shared" si="2"/>
        <v>0</v>
      </c>
      <c r="AA15" s="25" t="str">
        <f t="shared" si="0"/>
        <v>92.2-102.2</v>
      </c>
    </row>
    <row r="16" spans="1:27">
      <c r="A16" s="106">
        <v>14.5</v>
      </c>
      <c r="B16" s="23"/>
      <c r="C16" s="25">
        <f>C15+D$3</f>
        <v>102.2</v>
      </c>
      <c r="D16" s="25">
        <f t="shared" si="1"/>
        <v>112.2</v>
      </c>
      <c r="E16" s="25">
        <f>IF(D16="","",COUNTIF(A:A,"&lt;="&amp;D16)-COUNTIF(A:A,"&lt;="&amp;D15))</f>
        <v>0</v>
      </c>
      <c r="AA16" s="25" t="str">
        <f t="shared" si="0"/>
        <v>102.2-112.2</v>
      </c>
    </row>
    <row r="17" spans="1:27">
      <c r="A17" s="106">
        <v>22.4</v>
      </c>
      <c r="B17" s="23"/>
      <c r="C17" s="25">
        <f>C16+D$3</f>
        <v>112.2</v>
      </c>
      <c r="D17" s="25">
        <f t="shared" si="1"/>
        <v>122.2</v>
      </c>
      <c r="E17" s="25">
        <f>IF(D17="","",COUNTIF(A:A,"&lt;="&amp;D17)-COUNTIF(A:A,"&lt;="&amp;D16))</f>
        <v>0</v>
      </c>
      <c r="AA17" s="25" t="str">
        <f t="shared" si="0"/>
        <v>112.2-122.2</v>
      </c>
    </row>
    <row r="18" spans="1:27">
      <c r="A18" s="106">
        <v>19.5</v>
      </c>
      <c r="B18" s="23"/>
      <c r="C18" s="25">
        <f>C17+D$3</f>
        <v>122.2</v>
      </c>
      <c r="D18" s="25">
        <f t="shared" si="1"/>
        <v>132.19999999999999</v>
      </c>
      <c r="E18" s="25">
        <f>IF(D18="","",COUNTIF(A:A,"&lt;="&amp;D18)-COUNTIF(A:A,"&lt;="&amp;D17))</f>
        <v>0</v>
      </c>
      <c r="AA18" s="25" t="str">
        <f t="shared" si="0"/>
        <v>122.2-132.2</v>
      </c>
    </row>
    <row r="19" spans="1:27">
      <c r="A19" s="106">
        <v>31.3</v>
      </c>
      <c r="B19" s="23"/>
      <c r="C19" s="25">
        <f>C18+D$3</f>
        <v>132.19999999999999</v>
      </c>
      <c r="D19" s="25">
        <f t="shared" si="1"/>
        <v>142.19999999999999</v>
      </c>
      <c r="E19" s="25">
        <f>IF(D19="","",COUNTIF(A:A,"&lt;="&amp;D19)-COUNTIF(A:A,"&lt;="&amp;D18))</f>
        <v>0</v>
      </c>
      <c r="AA19" s="25" t="str">
        <f t="shared" si="0"/>
        <v>132.2-142.2</v>
      </c>
    </row>
    <row r="20" spans="1:27">
      <c r="A20" s="106">
        <v>21.7</v>
      </c>
      <c r="B20" s="23"/>
      <c r="C20" s="25"/>
      <c r="E20" s="25"/>
      <c r="AA20" s="25" t="str">
        <f t="shared" si="0"/>
        <v>-</v>
      </c>
    </row>
    <row r="21" spans="1:27">
      <c r="A21" s="106">
        <v>27</v>
      </c>
      <c r="B21" s="23"/>
      <c r="C21" s="25"/>
      <c r="E21" s="25"/>
      <c r="AA21" s="25" t="str">
        <f t="shared" si="0"/>
        <v>-</v>
      </c>
    </row>
    <row r="22" spans="1:27">
      <c r="A22" s="106">
        <v>13.1</v>
      </c>
      <c r="B22" s="23"/>
      <c r="C22" s="25"/>
      <c r="E22" s="25"/>
      <c r="AA22" s="25" t="str">
        <f t="shared" si="0"/>
        <v>-</v>
      </c>
    </row>
    <row r="23" spans="1:27">
      <c r="A23" s="106">
        <v>26.8</v>
      </c>
      <c r="B23" s="23"/>
      <c r="C23" s="25"/>
      <c r="E23" s="25"/>
      <c r="AA23" s="25" t="str">
        <f t="shared" si="0"/>
        <v>-</v>
      </c>
    </row>
    <row r="24" spans="1:27">
      <c r="A24" s="106">
        <v>24.3</v>
      </c>
      <c r="B24" s="23"/>
      <c r="C24" s="25"/>
      <c r="E24" s="25" t="str">
        <f t="shared" ref="E24:E55" si="4">IF(D24="","",COUNTIF(A:A,"&lt;="&amp;D24)-COUNTIF(A:A,"&lt;="&amp;D23))</f>
        <v/>
      </c>
      <c r="AA24" s="25" t="str">
        <f t="shared" si="0"/>
        <v>-</v>
      </c>
    </row>
    <row r="25" spans="1:27">
      <c r="A25" s="106">
        <v>38</v>
      </c>
      <c r="B25" s="23"/>
      <c r="C25" s="25"/>
      <c r="E25" s="25" t="str">
        <f t="shared" si="4"/>
        <v/>
      </c>
      <c r="AA25" s="25" t="str">
        <f t="shared" si="0"/>
        <v>-</v>
      </c>
    </row>
    <row r="26" spans="1:27">
      <c r="A26" s="106">
        <v>21.1</v>
      </c>
      <c r="B26" s="23"/>
      <c r="C26" s="25"/>
      <c r="E26" s="25" t="str">
        <f t="shared" si="4"/>
        <v/>
      </c>
      <c r="AA26" s="25" t="str">
        <f t="shared" si="0"/>
        <v>-</v>
      </c>
    </row>
    <row r="27" spans="1:27">
      <c r="A27" s="106">
        <v>9.3000000000000007</v>
      </c>
      <c r="B27" s="23"/>
      <c r="C27" s="25"/>
      <c r="E27" s="25" t="str">
        <f t="shared" si="4"/>
        <v/>
      </c>
      <c r="AA27" s="25" t="str">
        <f t="shared" si="0"/>
        <v>-</v>
      </c>
    </row>
    <row r="28" spans="1:27">
      <c r="A28" s="106">
        <v>46.7</v>
      </c>
      <c r="B28" s="23"/>
      <c r="C28" s="25"/>
      <c r="E28" s="25" t="str">
        <f t="shared" si="4"/>
        <v/>
      </c>
      <c r="AA28" s="25" t="str">
        <f t="shared" si="0"/>
        <v>-</v>
      </c>
    </row>
    <row r="29" spans="1:27">
      <c r="A29" s="106">
        <v>14.5</v>
      </c>
      <c r="B29" s="23"/>
      <c r="C29" s="25"/>
      <c r="E29" s="25" t="str">
        <f t="shared" si="4"/>
        <v/>
      </c>
      <c r="AA29" s="25" t="str">
        <f t="shared" si="0"/>
        <v>-</v>
      </c>
    </row>
    <row r="30" spans="1:27">
      <c r="A30" s="106">
        <v>78.400000000000006</v>
      </c>
      <c r="B30" s="23"/>
      <c r="C30" s="25"/>
      <c r="E30" s="25" t="str">
        <f t="shared" si="4"/>
        <v/>
      </c>
      <c r="AA30" s="25" t="str">
        <f t="shared" si="0"/>
        <v>-</v>
      </c>
    </row>
    <row r="31" spans="1:27">
      <c r="A31" s="106">
        <v>67.3</v>
      </c>
      <c r="B31" s="23"/>
      <c r="C31" s="25"/>
      <c r="E31" s="25" t="str">
        <f t="shared" si="4"/>
        <v/>
      </c>
      <c r="AA31" s="25" t="str">
        <f t="shared" si="0"/>
        <v>-</v>
      </c>
    </row>
    <row r="32" spans="1:27">
      <c r="A32" s="106">
        <v>21.1</v>
      </c>
      <c r="B32" s="23"/>
      <c r="C32" s="25"/>
      <c r="E32" s="25" t="str">
        <f t="shared" si="4"/>
        <v/>
      </c>
      <c r="AA32" s="25" t="str">
        <f t="shared" si="0"/>
        <v>-</v>
      </c>
    </row>
    <row r="33" spans="1:27">
      <c r="A33" s="106">
        <v>22.4</v>
      </c>
      <c r="B33" s="23"/>
      <c r="C33" s="25"/>
      <c r="E33" s="25" t="str">
        <f t="shared" si="4"/>
        <v/>
      </c>
      <c r="AA33" s="25" t="str">
        <f t="shared" si="0"/>
        <v>-</v>
      </c>
    </row>
    <row r="34" spans="1:27">
      <c r="A34" s="106">
        <v>5.3</v>
      </c>
      <c r="B34" s="23"/>
      <c r="C34" s="25"/>
      <c r="E34" s="25" t="str">
        <f t="shared" si="4"/>
        <v/>
      </c>
      <c r="AA34" s="25" t="str">
        <f t="shared" si="0"/>
        <v>-</v>
      </c>
    </row>
    <row r="35" spans="1:27">
      <c r="A35" s="106">
        <v>17.3</v>
      </c>
      <c r="B35" s="23"/>
      <c r="C35" s="25"/>
      <c r="E35" s="25" t="str">
        <f t="shared" si="4"/>
        <v/>
      </c>
      <c r="AA35" s="25" t="str">
        <f t="shared" si="0"/>
        <v>-</v>
      </c>
    </row>
    <row r="36" spans="1:27">
      <c r="A36" s="106">
        <v>17.5</v>
      </c>
      <c r="B36" s="23"/>
      <c r="C36" s="25"/>
      <c r="E36" s="25" t="str">
        <f t="shared" si="4"/>
        <v/>
      </c>
      <c r="AA36" s="25" t="str">
        <f t="shared" si="0"/>
        <v>-</v>
      </c>
    </row>
    <row r="37" spans="1:27">
      <c r="A37" s="106">
        <v>36.6</v>
      </c>
      <c r="B37" s="23"/>
      <c r="C37" s="25"/>
      <c r="E37" s="25" t="str">
        <f t="shared" si="4"/>
        <v/>
      </c>
      <c r="AA37" s="25" t="str">
        <f t="shared" si="0"/>
        <v>-</v>
      </c>
    </row>
    <row r="38" spans="1:27">
      <c r="A38" s="106">
        <v>72</v>
      </c>
      <c r="B38" s="23"/>
      <c r="C38" s="25"/>
      <c r="E38" s="25" t="str">
        <f t="shared" si="4"/>
        <v/>
      </c>
      <c r="AA38" s="25" t="str">
        <f t="shared" ref="AA38:AA70" si="5">CONCATENATE(C38,$Z$5,D38)</f>
        <v>-</v>
      </c>
    </row>
    <row r="39" spans="1:27">
      <c r="A39" s="106">
        <v>63.2</v>
      </c>
      <c r="B39" s="23"/>
      <c r="C39" s="25"/>
      <c r="E39" s="25" t="str">
        <f t="shared" si="4"/>
        <v/>
      </c>
      <c r="AA39" s="25" t="str">
        <f t="shared" si="5"/>
        <v>-</v>
      </c>
    </row>
    <row r="40" spans="1:27">
      <c r="A40" s="106">
        <v>15.1</v>
      </c>
      <c r="B40" s="23"/>
      <c r="C40" s="25"/>
      <c r="E40" s="25" t="str">
        <f t="shared" si="4"/>
        <v/>
      </c>
      <c r="AA40" s="25" t="str">
        <f t="shared" si="5"/>
        <v>-</v>
      </c>
    </row>
    <row r="41" spans="1:27">
      <c r="A41" s="106">
        <v>2.2000000000000002</v>
      </c>
      <c r="B41" s="23"/>
      <c r="C41" s="25"/>
      <c r="E41" s="25" t="str">
        <f t="shared" si="4"/>
        <v/>
      </c>
      <c r="AA41" s="25" t="str">
        <f t="shared" si="5"/>
        <v>-</v>
      </c>
    </row>
    <row r="42" spans="1:27">
      <c r="A42" s="106">
        <v>17.5</v>
      </c>
      <c r="B42" s="23"/>
      <c r="C42" s="25"/>
      <c r="E42" s="25" t="str">
        <f t="shared" si="4"/>
        <v/>
      </c>
      <c r="AA42" s="25" t="str">
        <f t="shared" si="5"/>
        <v>-</v>
      </c>
    </row>
    <row r="43" spans="1:27">
      <c r="A43" s="106">
        <v>36.700000000000003</v>
      </c>
      <c r="B43" s="23"/>
      <c r="C43" s="25"/>
      <c r="E43" s="25" t="str">
        <f t="shared" si="4"/>
        <v/>
      </c>
      <c r="AA43" s="25" t="str">
        <f t="shared" si="5"/>
        <v>-</v>
      </c>
    </row>
    <row r="44" spans="1:27">
      <c r="A44" s="106">
        <v>2.8</v>
      </c>
      <c r="B44" s="23"/>
      <c r="C44" s="25"/>
      <c r="E44" s="25" t="str">
        <f t="shared" si="4"/>
        <v/>
      </c>
      <c r="AA44" s="25" t="str">
        <f t="shared" si="5"/>
        <v>-</v>
      </c>
    </row>
    <row r="45" spans="1:27">
      <c r="A45" s="106">
        <v>16.2</v>
      </c>
      <c r="B45" s="23"/>
      <c r="C45" s="25"/>
      <c r="E45" s="25" t="str">
        <f t="shared" si="4"/>
        <v/>
      </c>
      <c r="AA45" s="25" t="str">
        <f t="shared" si="5"/>
        <v>-</v>
      </c>
    </row>
    <row r="46" spans="1:27">
      <c r="A46" s="106">
        <v>20.5</v>
      </c>
      <c r="B46" s="23"/>
      <c r="C46" s="25"/>
      <c r="E46" s="25" t="str">
        <f t="shared" si="4"/>
        <v/>
      </c>
      <c r="AA46" s="25" t="str">
        <f t="shared" si="5"/>
        <v>-</v>
      </c>
    </row>
    <row r="47" spans="1:27">
      <c r="A47" s="106">
        <v>17.8</v>
      </c>
      <c r="B47" s="23"/>
      <c r="C47" s="25"/>
      <c r="E47" s="25" t="str">
        <f t="shared" si="4"/>
        <v/>
      </c>
      <c r="AA47" s="25" t="str">
        <f t="shared" si="5"/>
        <v>-</v>
      </c>
    </row>
    <row r="48" spans="1:27">
      <c r="A48" s="106">
        <v>30.1</v>
      </c>
      <c r="B48" s="23"/>
      <c r="C48" s="25"/>
      <c r="E48" s="25" t="str">
        <f t="shared" si="4"/>
        <v/>
      </c>
      <c r="AA48" s="25" t="str">
        <f t="shared" si="5"/>
        <v>-</v>
      </c>
    </row>
    <row r="49" spans="1:27">
      <c r="A49" s="106">
        <v>63.6</v>
      </c>
      <c r="B49" s="23"/>
      <c r="C49" s="25"/>
      <c r="E49" s="25" t="str">
        <f t="shared" si="4"/>
        <v/>
      </c>
      <c r="AA49" s="25" t="str">
        <f t="shared" si="5"/>
        <v>-</v>
      </c>
    </row>
    <row r="50" spans="1:27">
      <c r="A50" s="106">
        <v>17.8</v>
      </c>
      <c r="B50" s="23"/>
      <c r="C50" s="25"/>
      <c r="E50" s="25" t="str">
        <f t="shared" si="4"/>
        <v/>
      </c>
      <c r="AA50" s="25" t="str">
        <f t="shared" si="5"/>
        <v>-</v>
      </c>
    </row>
    <row r="51" spans="1:27">
      <c r="A51" s="106">
        <v>23.2</v>
      </c>
      <c r="B51" s="23"/>
      <c r="C51" s="25"/>
      <c r="E51" s="25" t="str">
        <f t="shared" si="4"/>
        <v/>
      </c>
      <c r="AA51" s="25" t="str">
        <f t="shared" si="5"/>
        <v>-</v>
      </c>
    </row>
    <row r="52" spans="1:27">
      <c r="A52" s="106">
        <v>25.3</v>
      </c>
      <c r="B52" s="23"/>
      <c r="C52" s="25"/>
      <c r="E52" s="25" t="str">
        <f t="shared" si="4"/>
        <v/>
      </c>
      <c r="AA52" s="25" t="str">
        <f t="shared" si="5"/>
        <v>-</v>
      </c>
    </row>
    <row r="53" spans="1:27">
      <c r="A53" s="106">
        <v>21.4</v>
      </c>
      <c r="B53" s="23"/>
      <c r="C53" s="25"/>
      <c r="E53" s="25" t="str">
        <f t="shared" si="4"/>
        <v/>
      </c>
      <c r="AA53" s="25" t="str">
        <f t="shared" si="5"/>
        <v>-</v>
      </c>
    </row>
    <row r="54" spans="1:27">
      <c r="A54" s="106">
        <v>28.5</v>
      </c>
      <c r="B54" s="23"/>
      <c r="C54" s="25"/>
      <c r="E54" s="25" t="str">
        <f t="shared" si="4"/>
        <v/>
      </c>
      <c r="AA54" s="25" t="str">
        <f t="shared" si="5"/>
        <v>-</v>
      </c>
    </row>
    <row r="55" spans="1:27">
      <c r="A55" s="106">
        <v>9.4</v>
      </c>
      <c r="B55" s="23"/>
      <c r="C55" s="25"/>
      <c r="E55" s="25" t="str">
        <f t="shared" si="4"/>
        <v/>
      </c>
      <c r="AA55" s="25" t="str">
        <f t="shared" si="5"/>
        <v>-</v>
      </c>
    </row>
    <row r="56" spans="1:27">
      <c r="B56" s="23"/>
      <c r="C56" s="25"/>
      <c r="E56" s="25" t="str">
        <f t="shared" ref="E56:E82" si="6">IF(D56="","",COUNTIF(A:A,"&lt;="&amp;D56)-COUNTIF(A:A,"&lt;="&amp;D55))</f>
        <v/>
      </c>
      <c r="AA56" s="25" t="str">
        <f t="shared" si="5"/>
        <v>-</v>
      </c>
    </row>
    <row r="57" spans="1:27">
      <c r="B57" s="23"/>
      <c r="C57" s="25"/>
      <c r="E57" s="25" t="str">
        <f t="shared" si="6"/>
        <v/>
      </c>
      <c r="AA57" s="25" t="str">
        <f t="shared" si="5"/>
        <v>-</v>
      </c>
    </row>
    <row r="58" spans="1:27">
      <c r="B58" s="23"/>
      <c r="C58" s="25"/>
      <c r="E58" s="25" t="str">
        <f t="shared" si="6"/>
        <v/>
      </c>
      <c r="AA58" s="25" t="str">
        <f t="shared" si="5"/>
        <v>-</v>
      </c>
    </row>
    <row r="59" spans="1:27">
      <c r="B59" s="23"/>
      <c r="C59" s="25"/>
      <c r="E59" s="25" t="str">
        <f t="shared" si="6"/>
        <v/>
      </c>
      <c r="AA59" s="25" t="str">
        <f t="shared" si="5"/>
        <v>-</v>
      </c>
    </row>
    <row r="60" spans="1:27">
      <c r="B60" s="23"/>
      <c r="C60" s="25"/>
      <c r="E60" s="25" t="str">
        <f t="shared" si="6"/>
        <v/>
      </c>
      <c r="AA60" s="25" t="str">
        <f t="shared" si="5"/>
        <v>-</v>
      </c>
    </row>
    <row r="61" spans="1:27">
      <c r="B61" s="23"/>
      <c r="C61" s="25"/>
      <c r="E61" s="25" t="str">
        <f t="shared" si="6"/>
        <v/>
      </c>
      <c r="AA61" s="25" t="str">
        <f t="shared" si="5"/>
        <v>-</v>
      </c>
    </row>
    <row r="62" spans="1:27">
      <c r="B62" s="23"/>
      <c r="C62" s="25"/>
      <c r="E62" s="25" t="str">
        <f t="shared" si="6"/>
        <v/>
      </c>
      <c r="AA62" s="25" t="str">
        <f t="shared" si="5"/>
        <v>-</v>
      </c>
    </row>
    <row r="63" spans="1:27">
      <c r="B63" s="23"/>
      <c r="C63" s="25"/>
      <c r="E63" s="25" t="str">
        <f t="shared" si="6"/>
        <v/>
      </c>
      <c r="AA63" s="25" t="str">
        <f t="shared" si="5"/>
        <v>-</v>
      </c>
    </row>
    <row r="64" spans="1:27">
      <c r="B64" s="23"/>
      <c r="C64" s="25"/>
      <c r="E64" s="25" t="str">
        <f t="shared" si="6"/>
        <v/>
      </c>
      <c r="AA64" s="25" t="str">
        <f t="shared" si="5"/>
        <v>-</v>
      </c>
    </row>
    <row r="65" spans="2:27">
      <c r="B65" s="23"/>
      <c r="C65" s="25"/>
      <c r="E65" s="25" t="str">
        <f t="shared" si="6"/>
        <v/>
      </c>
      <c r="AA65" s="25" t="str">
        <f t="shared" si="5"/>
        <v>-</v>
      </c>
    </row>
    <row r="66" spans="2:27">
      <c r="B66" s="23"/>
      <c r="C66" s="25"/>
      <c r="E66" s="25" t="str">
        <f t="shared" si="6"/>
        <v/>
      </c>
      <c r="AA66" s="25" t="str">
        <f t="shared" si="5"/>
        <v>-</v>
      </c>
    </row>
    <row r="67" spans="2:27">
      <c r="B67" s="23"/>
      <c r="C67" s="25"/>
      <c r="E67" s="25" t="str">
        <f t="shared" si="6"/>
        <v/>
      </c>
      <c r="AA67" s="25" t="str">
        <f t="shared" si="5"/>
        <v>-</v>
      </c>
    </row>
    <row r="68" spans="2:27">
      <c r="B68" s="23"/>
      <c r="C68" s="25"/>
      <c r="E68" s="25" t="str">
        <f t="shared" si="6"/>
        <v/>
      </c>
      <c r="AA68" s="25" t="str">
        <f t="shared" si="5"/>
        <v>-</v>
      </c>
    </row>
    <row r="69" spans="2:27">
      <c r="B69" s="23"/>
      <c r="C69" s="25"/>
      <c r="E69" s="25" t="str">
        <f t="shared" si="6"/>
        <v/>
      </c>
      <c r="AA69" s="25" t="str">
        <f t="shared" si="5"/>
        <v>-</v>
      </c>
    </row>
    <row r="70" spans="2:27">
      <c r="B70" s="23"/>
      <c r="C70" s="25"/>
      <c r="E70" s="25" t="str">
        <f t="shared" si="6"/>
        <v/>
      </c>
      <c r="AA70" s="25" t="str">
        <f t="shared" si="5"/>
        <v>-</v>
      </c>
    </row>
    <row r="71" spans="2:27">
      <c r="B71" s="23"/>
      <c r="C71" s="25"/>
      <c r="E71" s="25" t="str">
        <f t="shared" si="6"/>
        <v/>
      </c>
      <c r="AA71" s="25" t="str">
        <f t="shared" ref="AA71:AA82" si="7">CONCATENATE(C71,$Z$5,D71)</f>
        <v>-</v>
      </c>
    </row>
    <row r="72" spans="2:27">
      <c r="B72" s="23"/>
      <c r="C72" s="25"/>
      <c r="E72" s="25" t="str">
        <f t="shared" si="6"/>
        <v/>
      </c>
      <c r="AA72" s="25" t="str">
        <f t="shared" si="7"/>
        <v>-</v>
      </c>
    </row>
    <row r="73" spans="2:27">
      <c r="B73" s="23"/>
      <c r="C73" s="25"/>
      <c r="E73" s="25" t="str">
        <f t="shared" si="6"/>
        <v/>
      </c>
      <c r="AA73" s="25" t="str">
        <f t="shared" si="7"/>
        <v>-</v>
      </c>
    </row>
    <row r="74" spans="2:27">
      <c r="B74" s="23"/>
      <c r="C74" s="25"/>
      <c r="E74" s="25" t="str">
        <f t="shared" si="6"/>
        <v/>
      </c>
      <c r="AA74" s="25" t="str">
        <f t="shared" si="7"/>
        <v>-</v>
      </c>
    </row>
    <row r="75" spans="2:27">
      <c r="B75" s="23"/>
      <c r="C75" s="25"/>
      <c r="E75" s="25" t="str">
        <f t="shared" si="6"/>
        <v/>
      </c>
      <c r="AA75" s="25" t="str">
        <f t="shared" si="7"/>
        <v>-</v>
      </c>
    </row>
    <row r="76" spans="2:27">
      <c r="B76" s="23"/>
      <c r="C76" s="25"/>
      <c r="E76" s="25" t="str">
        <f t="shared" si="6"/>
        <v/>
      </c>
      <c r="AA76" s="25" t="str">
        <f t="shared" si="7"/>
        <v>-</v>
      </c>
    </row>
    <row r="77" spans="2:27">
      <c r="B77" s="23"/>
      <c r="C77" s="25"/>
      <c r="E77" s="25" t="str">
        <f t="shared" si="6"/>
        <v/>
      </c>
      <c r="AA77" s="25" t="str">
        <f t="shared" si="7"/>
        <v>-</v>
      </c>
    </row>
    <row r="78" spans="2:27">
      <c r="B78" s="23"/>
      <c r="C78" s="25"/>
      <c r="E78" s="25" t="str">
        <f t="shared" si="6"/>
        <v/>
      </c>
      <c r="AA78" s="25" t="str">
        <f t="shared" si="7"/>
        <v>-</v>
      </c>
    </row>
    <row r="79" spans="2:27">
      <c r="B79" s="23"/>
      <c r="C79" s="25"/>
      <c r="E79" s="25" t="str">
        <f t="shared" si="6"/>
        <v/>
      </c>
      <c r="AA79" s="25" t="str">
        <f t="shared" si="7"/>
        <v>-</v>
      </c>
    </row>
    <row r="80" spans="2:27">
      <c r="B80" s="23"/>
      <c r="C80" s="25"/>
      <c r="E80" s="25" t="str">
        <f t="shared" si="6"/>
        <v/>
      </c>
      <c r="AA80" s="25" t="str">
        <f t="shared" si="7"/>
        <v>-</v>
      </c>
    </row>
    <row r="81" spans="2:27">
      <c r="B81" s="23"/>
      <c r="C81" s="25"/>
      <c r="E81" s="25" t="str">
        <f t="shared" si="6"/>
        <v/>
      </c>
      <c r="AA81" s="25" t="str">
        <f t="shared" si="7"/>
        <v>-</v>
      </c>
    </row>
    <row r="82" spans="2:27" ht="15.75" thickBot="1">
      <c r="B82" s="23"/>
      <c r="C82" s="27"/>
      <c r="D82" s="27"/>
      <c r="E82" s="27" t="str">
        <f t="shared" si="6"/>
        <v/>
      </c>
      <c r="AA82" s="25" t="str">
        <f t="shared" si="7"/>
        <v>-</v>
      </c>
    </row>
    <row r="83" spans="2:27" ht="15.75" thickTop="1"/>
    <row r="84" spans="2:27">
      <c r="C84" s="32" t="s">
        <v>113</v>
      </c>
    </row>
  </sheetData>
  <sheetProtection sheet="1" objects="1" scenarios="1" selectLockedCells="1"/>
  <mergeCells count="1">
    <mergeCell ref="C4:D4"/>
  </mergeCells>
  <hyperlinks>
    <hyperlink ref="O2" r:id="rId1" xr:uid="{00000000-0004-0000-0300-000000000000}"/>
    <hyperlink ref="O4" r:id="rId2" xr:uid="{00000000-0004-0000-0300-000001000000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0"/>
  <sheetViews>
    <sheetView zoomScaleNormal="100" workbookViewId="0">
      <selection activeCell="A2" sqref="A2"/>
    </sheetView>
  </sheetViews>
  <sheetFormatPr defaultColWidth="9.140625" defaultRowHeight="15.75"/>
  <cols>
    <col min="1" max="1" width="9.140625" style="108"/>
    <col min="2" max="2" width="11.140625" style="51" bestFit="1" customWidth="1"/>
    <col min="3" max="4" width="9.140625" style="51"/>
    <col min="5" max="5" width="61.7109375" style="31" bestFit="1" customWidth="1"/>
    <col min="6" max="16384" width="9.140625" style="31"/>
  </cols>
  <sheetData>
    <row r="1" spans="1:5" s="30" customFormat="1" ht="19.5">
      <c r="A1" s="109" t="s">
        <v>114</v>
      </c>
      <c r="B1" s="50" t="s">
        <v>115</v>
      </c>
      <c r="C1" s="50" t="s">
        <v>116</v>
      </c>
      <c r="D1" s="50" t="s">
        <v>117</v>
      </c>
      <c r="E1" s="52" t="s">
        <v>118</v>
      </c>
    </row>
    <row r="2" spans="1:5">
      <c r="A2" s="107">
        <v>182</v>
      </c>
      <c r="B2" s="51">
        <v>1</v>
      </c>
      <c r="C2" s="51">
        <f t="shared" ref="C2:C24" si="0">IF(ISBLANK(A2),"", (B2-0.375)/(E$7-0.25))</f>
        <v>2.6315789473684209E-2</v>
      </c>
      <c r="D2" s="51">
        <f t="shared" ref="D2:D24" si="1">IF(ISBLANK(A2),"",_xlfn.NORM.S.INV(C2))</f>
        <v>-1.9379315108528286</v>
      </c>
      <c r="E2" s="53" t="s">
        <v>119</v>
      </c>
    </row>
    <row r="3" spans="1:5">
      <c r="A3" s="107">
        <v>186</v>
      </c>
      <c r="B3" s="51">
        <f t="shared" ref="B3:B25" si="2">IF(ISBLANK(A3),"", (B2+1))</f>
        <v>2</v>
      </c>
      <c r="C3" s="51">
        <f t="shared" si="0"/>
        <v>6.8421052631578952E-2</v>
      </c>
      <c r="D3" s="51">
        <f t="shared" si="1"/>
        <v>-1.4876542249134188</v>
      </c>
      <c r="E3" s="54" t="s">
        <v>120</v>
      </c>
    </row>
    <row r="4" spans="1:5">
      <c r="A4" s="107">
        <v>190</v>
      </c>
      <c r="B4" s="51">
        <f t="shared" si="2"/>
        <v>3</v>
      </c>
      <c r="C4" s="51">
        <f t="shared" si="0"/>
        <v>0.11052631578947368</v>
      </c>
      <c r="D4" s="51">
        <f t="shared" si="1"/>
        <v>-1.2237338875341557</v>
      </c>
      <c r="E4" s="55" t="s">
        <v>121</v>
      </c>
    </row>
    <row r="5" spans="1:5">
      <c r="A5" s="107">
        <v>200</v>
      </c>
      <c r="B5" s="51">
        <f t="shared" si="2"/>
        <v>4</v>
      </c>
      <c r="C5" s="51">
        <f t="shared" si="0"/>
        <v>0.15263157894736842</v>
      </c>
      <c r="D5" s="51">
        <f t="shared" si="1"/>
        <v>-1.0252120199501911</v>
      </c>
      <c r="E5" s="55" t="s">
        <v>122</v>
      </c>
    </row>
    <row r="6" spans="1:5">
      <c r="A6" s="107">
        <v>200</v>
      </c>
      <c r="B6" s="51">
        <f t="shared" si="2"/>
        <v>5</v>
      </c>
      <c r="C6" s="51">
        <f t="shared" si="0"/>
        <v>0.19473684210526315</v>
      </c>
      <c r="D6" s="51">
        <f t="shared" si="1"/>
        <v>-0.86057223336461919</v>
      </c>
      <c r="E6" s="50" t="s">
        <v>123</v>
      </c>
    </row>
    <row r="7" spans="1:5">
      <c r="A7" s="107">
        <v>202</v>
      </c>
      <c r="B7" s="51">
        <f t="shared" si="2"/>
        <v>6</v>
      </c>
      <c r="C7" s="51">
        <f t="shared" si="0"/>
        <v>0.23684210526315788</v>
      </c>
      <c r="D7" s="51">
        <f t="shared" si="1"/>
        <v>-0.71649750017799174</v>
      </c>
      <c r="E7" s="50">
        <f>COUNT(A:A)</f>
        <v>24</v>
      </c>
    </row>
    <row r="8" spans="1:5">
      <c r="A8" s="107">
        <v>214</v>
      </c>
      <c r="B8" s="51">
        <f t="shared" si="2"/>
        <v>7</v>
      </c>
      <c r="C8" s="51">
        <f t="shared" si="0"/>
        <v>0.27894736842105261</v>
      </c>
      <c r="D8" s="51">
        <f t="shared" si="1"/>
        <v>-0.58597139629043393</v>
      </c>
      <c r="E8" s="56" t="s">
        <v>124</v>
      </c>
    </row>
    <row r="9" spans="1:5">
      <c r="A9" s="107">
        <v>218</v>
      </c>
      <c r="B9" s="51">
        <f t="shared" si="2"/>
        <v>8</v>
      </c>
      <c r="C9" s="51">
        <f t="shared" si="0"/>
        <v>0.32105263157894737</v>
      </c>
      <c r="D9" s="51">
        <f t="shared" si="1"/>
        <v>-0.46475730866396364</v>
      </c>
      <c r="E9" s="56" t="s">
        <v>125</v>
      </c>
    </row>
    <row r="10" spans="1:5">
      <c r="A10" s="107">
        <v>218</v>
      </c>
      <c r="B10" s="51">
        <f t="shared" si="2"/>
        <v>9</v>
      </c>
      <c r="C10" s="51">
        <f t="shared" si="0"/>
        <v>0.36315789473684212</v>
      </c>
      <c r="D10" s="51">
        <f t="shared" si="1"/>
        <v>-0.35003052483247277</v>
      </c>
    </row>
    <row r="11" spans="1:5">
      <c r="A11" s="107">
        <v>220</v>
      </c>
      <c r="B11" s="51">
        <f t="shared" si="2"/>
        <v>10</v>
      </c>
      <c r="C11" s="51">
        <f t="shared" si="0"/>
        <v>0.40526315789473683</v>
      </c>
      <c r="D11" s="51">
        <f t="shared" si="1"/>
        <v>-0.23974710418792744</v>
      </c>
    </row>
    <row r="12" spans="1:5">
      <c r="A12" s="107">
        <v>220</v>
      </c>
      <c r="B12" s="51">
        <f t="shared" si="2"/>
        <v>11</v>
      </c>
      <c r="C12" s="51">
        <f t="shared" si="0"/>
        <v>0.44736842105263158</v>
      </c>
      <c r="D12" s="51">
        <f t="shared" si="1"/>
        <v>-0.13231285227617118</v>
      </c>
    </row>
    <row r="13" spans="1:5">
      <c r="A13" s="107">
        <v>234</v>
      </c>
      <c r="B13" s="51">
        <f t="shared" si="2"/>
        <v>12</v>
      </c>
      <c r="C13" s="51">
        <f t="shared" si="0"/>
        <v>0.48947368421052634</v>
      </c>
      <c r="D13" s="51">
        <f t="shared" si="1"/>
        <v>-2.6388623126804504E-2</v>
      </c>
    </row>
    <row r="14" spans="1:5">
      <c r="A14" s="107">
        <v>236</v>
      </c>
      <c r="B14" s="51">
        <f t="shared" si="2"/>
        <v>13</v>
      </c>
      <c r="C14" s="51">
        <f t="shared" si="0"/>
        <v>0.53157894736842104</v>
      </c>
      <c r="D14" s="51">
        <f t="shared" si="1"/>
        <v>7.9239527195221912E-2</v>
      </c>
    </row>
    <row r="15" spans="1:5">
      <c r="A15" s="107">
        <v>238</v>
      </c>
      <c r="B15" s="51">
        <f t="shared" si="2"/>
        <v>14</v>
      </c>
      <c r="C15" s="51">
        <f t="shared" si="0"/>
        <v>0.5736842105263158</v>
      </c>
      <c r="D15" s="51">
        <f t="shared" si="1"/>
        <v>0.18576177870610089</v>
      </c>
    </row>
    <row r="16" spans="1:5">
      <c r="A16" s="107">
        <v>240</v>
      </c>
      <c r="B16" s="51">
        <f t="shared" si="2"/>
        <v>15</v>
      </c>
      <c r="C16" s="51">
        <f t="shared" si="0"/>
        <v>0.61578947368421055</v>
      </c>
      <c r="D16" s="51">
        <f t="shared" si="1"/>
        <v>0.29444085415848614</v>
      </c>
    </row>
    <row r="17" spans="1:5">
      <c r="A17" s="107">
        <v>242</v>
      </c>
      <c r="B17" s="51">
        <f t="shared" si="2"/>
        <v>16</v>
      </c>
      <c r="C17" s="51">
        <f t="shared" si="0"/>
        <v>0.65789473684210531</v>
      </c>
      <c r="D17" s="51">
        <f t="shared" si="1"/>
        <v>0.40672425187136385</v>
      </c>
    </row>
    <row r="18" spans="1:5">
      <c r="A18" s="107">
        <v>244</v>
      </c>
      <c r="B18" s="51">
        <f t="shared" si="2"/>
        <v>17</v>
      </c>
      <c r="C18" s="51">
        <f t="shared" si="0"/>
        <v>0.7</v>
      </c>
      <c r="D18" s="51">
        <f t="shared" si="1"/>
        <v>0.52440051270804078</v>
      </c>
    </row>
    <row r="19" spans="1:5">
      <c r="A19" s="107">
        <v>248</v>
      </c>
      <c r="B19" s="51">
        <f t="shared" si="2"/>
        <v>18</v>
      </c>
      <c r="C19" s="51">
        <f t="shared" si="0"/>
        <v>0.74210526315789471</v>
      </c>
      <c r="D19" s="51">
        <f t="shared" si="1"/>
        <v>0.64984944947829704</v>
      </c>
    </row>
    <row r="20" spans="1:5">
      <c r="A20" s="107">
        <v>248</v>
      </c>
      <c r="B20" s="51">
        <f t="shared" si="2"/>
        <v>19</v>
      </c>
      <c r="C20" s="51">
        <f t="shared" si="0"/>
        <v>0.78421052631578947</v>
      </c>
      <c r="D20" s="51">
        <f t="shared" si="1"/>
        <v>0.78649260907490137</v>
      </c>
    </row>
    <row r="21" spans="1:5">
      <c r="A21" s="107">
        <v>258</v>
      </c>
      <c r="B21" s="51">
        <f t="shared" si="2"/>
        <v>20</v>
      </c>
      <c r="C21" s="51">
        <f t="shared" si="0"/>
        <v>0.82631578947368423</v>
      </c>
      <c r="D21" s="51">
        <f t="shared" si="1"/>
        <v>0.93970593292280136</v>
      </c>
    </row>
    <row r="22" spans="1:5">
      <c r="A22" s="107">
        <v>270</v>
      </c>
      <c r="B22" s="51">
        <f t="shared" si="2"/>
        <v>21</v>
      </c>
      <c r="C22" s="51">
        <f t="shared" si="0"/>
        <v>0.86842105263157898</v>
      </c>
      <c r="D22" s="51">
        <f t="shared" si="1"/>
        <v>1.1189583810625605</v>
      </c>
    </row>
    <row r="23" spans="1:5">
      <c r="A23" s="107">
        <v>276</v>
      </c>
      <c r="B23" s="51">
        <f t="shared" si="2"/>
        <v>22</v>
      </c>
      <c r="C23" s="51">
        <f t="shared" si="0"/>
        <v>0.91052631578947374</v>
      </c>
      <c r="D23" s="51">
        <f t="shared" si="1"/>
        <v>1.3440031495972566</v>
      </c>
    </row>
    <row r="24" spans="1:5">
      <c r="A24" s="107">
        <v>278</v>
      </c>
      <c r="B24" s="51">
        <f t="shared" si="2"/>
        <v>23</v>
      </c>
      <c r="C24" s="51">
        <f t="shared" si="0"/>
        <v>0.95263157894736838</v>
      </c>
      <c r="D24" s="51">
        <f t="shared" si="1"/>
        <v>1.6709232317365708</v>
      </c>
    </row>
    <row r="25" spans="1:5">
      <c r="A25" s="107">
        <v>288</v>
      </c>
      <c r="B25" s="51">
        <f t="shared" si="2"/>
        <v>24</v>
      </c>
      <c r="C25" s="51">
        <f>IF(ISBLANK(A25),"", (B25-0.375)/(E$7-0.25))</f>
        <v>0.99473684210526314</v>
      </c>
      <c r="D25" s="51">
        <f>IF(ISBLANK(A25),"",_xlfn.NORM.S.INV(C25))</f>
        <v>2.5580427269867663</v>
      </c>
      <c r="E25" s="74" t="s">
        <v>126</v>
      </c>
    </row>
    <row r="26" spans="1:5">
      <c r="B26" s="51" t="str">
        <f>IF(ISBLANK(A26),"", (B25+1))</f>
        <v/>
      </c>
      <c r="C26" s="51" t="str">
        <f>IF(ISBLANK(A26),"", (B26-0.375)/(E$7-0.25))</f>
        <v/>
      </c>
      <c r="D26" s="51" t="str">
        <f>IF(ISBLANK(A26),"",_xlfn.NORM.S.INV(C26))</f>
        <v/>
      </c>
    </row>
    <row r="27" spans="1:5">
      <c r="B27" s="51" t="str">
        <f t="shared" ref="B27:B40" si="3">IF(ISBLANK(A27),"", (B26+1))</f>
        <v/>
      </c>
      <c r="C27" s="51" t="str">
        <f t="shared" ref="C27:C40" si="4">IF(ISBLANK(A27),"", (B27-0.375)/(E$7-0.25))</f>
        <v/>
      </c>
      <c r="D27" s="51" t="str">
        <f t="shared" ref="D27:D40" si="5">IF(ISBLANK(A27),"",_xlfn.NORM.S.INV(C27))</f>
        <v/>
      </c>
    </row>
    <row r="28" spans="1:5">
      <c r="B28" s="51" t="str">
        <f t="shared" si="3"/>
        <v/>
      </c>
      <c r="C28" s="51" t="str">
        <f t="shared" si="4"/>
        <v/>
      </c>
      <c r="D28" s="51" t="str">
        <f t="shared" si="5"/>
        <v/>
      </c>
    </row>
    <row r="29" spans="1:5">
      <c r="B29" s="51" t="str">
        <f t="shared" si="3"/>
        <v/>
      </c>
      <c r="C29" s="51" t="str">
        <f t="shared" si="4"/>
        <v/>
      </c>
      <c r="D29" s="51" t="str">
        <f t="shared" si="5"/>
        <v/>
      </c>
    </row>
    <row r="30" spans="1:5">
      <c r="B30" s="51" t="str">
        <f t="shared" si="3"/>
        <v/>
      </c>
      <c r="C30" s="51" t="str">
        <f t="shared" si="4"/>
        <v/>
      </c>
      <c r="D30" s="51" t="str">
        <f t="shared" si="5"/>
        <v/>
      </c>
    </row>
    <row r="31" spans="1:5">
      <c r="B31" s="51" t="str">
        <f t="shared" si="3"/>
        <v/>
      </c>
      <c r="C31" s="51" t="str">
        <f t="shared" si="4"/>
        <v/>
      </c>
      <c r="D31" s="51" t="str">
        <f t="shared" si="5"/>
        <v/>
      </c>
    </row>
    <row r="32" spans="1:5">
      <c r="B32" s="51" t="str">
        <f t="shared" si="3"/>
        <v/>
      </c>
      <c r="C32" s="51" t="str">
        <f t="shared" si="4"/>
        <v/>
      </c>
      <c r="D32" s="51" t="str">
        <f t="shared" si="5"/>
        <v/>
      </c>
    </row>
    <row r="33" spans="2:4">
      <c r="B33" s="51" t="str">
        <f t="shared" si="3"/>
        <v/>
      </c>
      <c r="C33" s="51" t="str">
        <f t="shared" si="4"/>
        <v/>
      </c>
      <c r="D33" s="51" t="str">
        <f t="shared" si="5"/>
        <v/>
      </c>
    </row>
    <row r="34" spans="2:4">
      <c r="B34" s="51" t="str">
        <f t="shared" si="3"/>
        <v/>
      </c>
      <c r="C34" s="51" t="str">
        <f t="shared" si="4"/>
        <v/>
      </c>
      <c r="D34" s="51" t="str">
        <f t="shared" si="5"/>
        <v/>
      </c>
    </row>
    <row r="35" spans="2:4">
      <c r="B35" s="51" t="str">
        <f t="shared" si="3"/>
        <v/>
      </c>
      <c r="C35" s="51" t="str">
        <f t="shared" si="4"/>
        <v/>
      </c>
      <c r="D35" s="51" t="str">
        <f t="shared" si="5"/>
        <v/>
      </c>
    </row>
    <row r="36" spans="2:4">
      <c r="B36" s="51" t="str">
        <f t="shared" si="3"/>
        <v/>
      </c>
      <c r="C36" s="51" t="str">
        <f t="shared" si="4"/>
        <v/>
      </c>
      <c r="D36" s="51" t="str">
        <f t="shared" si="5"/>
        <v/>
      </c>
    </row>
    <row r="37" spans="2:4">
      <c r="B37" s="51" t="str">
        <f t="shared" si="3"/>
        <v/>
      </c>
      <c r="C37" s="51" t="str">
        <f t="shared" si="4"/>
        <v/>
      </c>
      <c r="D37" s="51" t="str">
        <f t="shared" si="5"/>
        <v/>
      </c>
    </row>
    <row r="38" spans="2:4">
      <c r="B38" s="51" t="str">
        <f t="shared" si="3"/>
        <v/>
      </c>
      <c r="C38" s="51" t="str">
        <f t="shared" si="4"/>
        <v/>
      </c>
      <c r="D38" s="51" t="str">
        <f t="shared" si="5"/>
        <v/>
      </c>
    </row>
    <row r="39" spans="2:4">
      <c r="B39" s="51" t="str">
        <f t="shared" si="3"/>
        <v/>
      </c>
      <c r="C39" s="51" t="str">
        <f t="shared" si="4"/>
        <v/>
      </c>
      <c r="D39" s="51" t="str">
        <f t="shared" si="5"/>
        <v/>
      </c>
    </row>
    <row r="40" spans="2:4">
      <c r="B40" s="51" t="str">
        <f t="shared" si="3"/>
        <v/>
      </c>
      <c r="C40" s="51" t="str">
        <f t="shared" si="4"/>
        <v/>
      </c>
      <c r="D40" s="51" t="str">
        <f t="shared" si="5"/>
        <v/>
      </c>
    </row>
  </sheetData>
  <sheetProtection sheet="1" objects="1" scenarios="1" selectLockedCells="1"/>
  <hyperlinks>
    <hyperlink ref="E9" r:id="rId1" xr:uid="{00000000-0004-0000-0400-000000000000}"/>
    <hyperlink ref="E8" r:id="rId2" xr:uid="{00000000-0004-0000-0400-000001000000}"/>
  </hyperlinks>
  <pageMargins left="0.7" right="0.7" top="0.75" bottom="0.75" header="0.3" footer="0.3"/>
  <pageSetup orientation="portrait" horizontalDpi="0" verticalDpi="0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13"/>
  <sheetViews>
    <sheetView zoomScale="80" zoomScaleNormal="80" workbookViewId="0">
      <selection activeCell="C29" sqref="C29"/>
    </sheetView>
  </sheetViews>
  <sheetFormatPr defaultColWidth="9.140625" defaultRowHeight="15"/>
  <cols>
    <col min="1" max="1" width="43.140625" style="112" customWidth="1"/>
    <col min="2" max="2" width="2.7109375" style="113" customWidth="1"/>
    <col min="3" max="3" width="7.7109375" style="43" customWidth="1"/>
    <col min="4" max="4" width="14.42578125" style="118" bestFit="1" customWidth="1"/>
    <col min="5" max="5" width="10.42578125" style="124" bestFit="1" customWidth="1"/>
    <col min="6" max="6" width="3.5703125" style="114" hidden="1" customWidth="1"/>
    <col min="7" max="7" width="2.7109375" style="113" customWidth="1"/>
    <col min="8" max="8" width="11.140625" style="44" customWidth="1"/>
    <col min="9" max="9" width="11.7109375" style="43" bestFit="1" customWidth="1"/>
    <col min="10" max="10" width="13.42578125" style="43" bestFit="1" customWidth="1"/>
    <col min="11" max="11" width="9.85546875" style="116" customWidth="1"/>
    <col min="12" max="12" width="9.85546875" style="118" bestFit="1" customWidth="1"/>
    <col min="13" max="13" width="9.5703125" style="116" bestFit="1" customWidth="1"/>
    <col min="14" max="14" width="11.140625" style="115" customWidth="1"/>
    <col min="15" max="15" width="2.5703125" style="115" customWidth="1"/>
    <col min="16" max="16" width="12.140625" style="116" bestFit="1" customWidth="1"/>
    <col min="17" max="17" width="8.28515625" style="116" bestFit="1" customWidth="1"/>
    <col min="18" max="18" width="2.7109375" style="116" bestFit="1" customWidth="1"/>
    <col min="19" max="16384" width="9.140625" style="115"/>
  </cols>
  <sheetData>
    <row r="1" spans="1:18">
      <c r="C1" s="311" t="s">
        <v>127</v>
      </c>
      <c r="D1" s="312"/>
      <c r="E1" s="313"/>
      <c r="H1" s="311" t="s">
        <v>128</v>
      </c>
      <c r="I1" s="312"/>
      <c r="J1" s="312"/>
      <c r="K1" s="312"/>
      <c r="L1" s="312"/>
      <c r="M1" s="312"/>
      <c r="N1" s="313"/>
    </row>
    <row r="2" spans="1:18" s="122" customFormat="1" ht="60">
      <c r="A2" s="117" t="s">
        <v>129</v>
      </c>
      <c r="B2" s="118"/>
      <c r="C2" s="119" t="s">
        <v>108</v>
      </c>
      <c r="D2" s="310" t="s">
        <v>130</v>
      </c>
      <c r="E2" s="310"/>
      <c r="F2" s="120" t="s">
        <v>40</v>
      </c>
      <c r="G2" s="118"/>
      <c r="H2" s="119" t="s">
        <v>85</v>
      </c>
      <c r="I2" s="119" t="s">
        <v>131</v>
      </c>
      <c r="J2" s="119" t="s">
        <v>132</v>
      </c>
      <c r="K2" s="121" t="s">
        <v>133</v>
      </c>
      <c r="L2" s="78" t="s">
        <v>134</v>
      </c>
      <c r="M2" s="121" t="s">
        <v>135</v>
      </c>
      <c r="N2" s="78" t="s">
        <v>136</v>
      </c>
      <c r="P2" s="78" t="s">
        <v>137</v>
      </c>
      <c r="Q2" s="78" t="s">
        <v>138</v>
      </c>
      <c r="R2" s="78"/>
    </row>
    <row r="3" spans="1:18" s="77" customFormat="1">
      <c r="A3" s="123" t="s">
        <v>139</v>
      </c>
      <c r="C3" s="43">
        <v>270</v>
      </c>
      <c r="D3" s="118" t="s">
        <v>140</v>
      </c>
      <c r="E3" s="124">
        <f>COUNT(C:C)</f>
        <v>27</v>
      </c>
      <c r="F3" s="125">
        <v>0.1</v>
      </c>
      <c r="H3" s="138" t="s">
        <v>141</v>
      </c>
      <c r="I3" s="43">
        <v>3</v>
      </c>
      <c r="J3" s="49">
        <v>4</v>
      </c>
      <c r="K3" s="38">
        <f t="shared" ref="K3:K8" si="0">IF(ISBLANK(J3),"",(I3*J3))</f>
        <v>12</v>
      </c>
      <c r="L3" s="39">
        <f>SUM(K:K)/L7</f>
        <v>2.1764705882352939</v>
      </c>
      <c r="M3" s="38">
        <f t="shared" ref="M3:M8" si="1">IF(ISBLANK(J3),"",(I3-L$3)^2*J3)</f>
        <v>2.7128027681660911</v>
      </c>
      <c r="N3" s="39">
        <f>SUM(M:M)/L7</f>
        <v>0.73356401384083059</v>
      </c>
      <c r="P3" s="38" t="s">
        <v>142</v>
      </c>
      <c r="Q3" s="38">
        <f>_xlfn.PERCENTILE.EXC(C:E,0.25)</f>
        <v>210</v>
      </c>
      <c r="R3" s="38"/>
    </row>
    <row r="4" spans="1:18" s="77" customFormat="1">
      <c r="A4" s="123" t="s">
        <v>143</v>
      </c>
      <c r="C4" s="43">
        <v>236</v>
      </c>
      <c r="D4" s="79" t="s">
        <v>144</v>
      </c>
      <c r="E4" s="39">
        <f>AVERAGE(C:C)</f>
        <v>252.66666666666666</v>
      </c>
      <c r="F4" s="125">
        <v>0.1</v>
      </c>
      <c r="H4" s="138" t="s">
        <v>145</v>
      </c>
      <c r="I4" s="43">
        <v>1</v>
      </c>
      <c r="J4" s="49">
        <v>5</v>
      </c>
      <c r="K4" s="38">
        <f t="shared" si="0"/>
        <v>5</v>
      </c>
      <c r="L4" s="79"/>
      <c r="M4" s="38">
        <f t="shared" si="1"/>
        <v>6.9204152249134934</v>
      </c>
      <c r="P4" s="38" t="s">
        <v>146</v>
      </c>
      <c r="Q4" s="38">
        <f>_xlfn.PERCENTILE.INC(C:E,0.25)</f>
        <v>214</v>
      </c>
      <c r="R4" s="38"/>
    </row>
    <row r="5" spans="1:18" ht="45">
      <c r="A5" s="126" t="s">
        <v>147</v>
      </c>
      <c r="C5" s="43">
        <v>210</v>
      </c>
      <c r="D5" s="79" t="s">
        <v>148</v>
      </c>
      <c r="E5" s="39">
        <f>_xlfn.STDEV.S(C:C)</f>
        <v>48.1408190783919</v>
      </c>
      <c r="F5" s="125">
        <v>0.1</v>
      </c>
      <c r="H5" s="44" t="s">
        <v>149</v>
      </c>
      <c r="I5" s="43">
        <v>3</v>
      </c>
      <c r="J5" s="49">
        <v>1</v>
      </c>
      <c r="K5" s="38">
        <f t="shared" si="0"/>
        <v>3</v>
      </c>
      <c r="L5" s="79"/>
      <c r="M5" s="38">
        <f t="shared" si="1"/>
        <v>0.67820069204152278</v>
      </c>
      <c r="N5" s="78" t="s">
        <v>150</v>
      </c>
      <c r="P5" s="37" t="s">
        <v>151</v>
      </c>
      <c r="Q5" s="37">
        <f>AVERAGE(Q3:Q4)</f>
        <v>212</v>
      </c>
      <c r="R5" s="38"/>
    </row>
    <row r="6" spans="1:18" ht="30">
      <c r="A6" s="307" t="s">
        <v>152</v>
      </c>
      <c r="B6" s="127"/>
      <c r="C6" s="43">
        <v>142</v>
      </c>
      <c r="D6" s="127" t="s">
        <v>153</v>
      </c>
      <c r="E6" s="41">
        <f>_xlfn.STDEV.P(C:C)</f>
        <v>47.24091133439007</v>
      </c>
      <c r="F6" s="125">
        <v>0.1</v>
      </c>
      <c r="G6" s="127"/>
      <c r="H6" s="138" t="s">
        <v>154</v>
      </c>
      <c r="I6" s="43">
        <v>2</v>
      </c>
      <c r="J6" s="49">
        <v>4</v>
      </c>
      <c r="K6" s="38">
        <f t="shared" si="0"/>
        <v>8</v>
      </c>
      <c r="L6" s="80" t="s">
        <v>155</v>
      </c>
      <c r="M6" s="38">
        <f t="shared" si="1"/>
        <v>0.12456747404844265</v>
      </c>
      <c r="N6" s="39">
        <f>SQRT(N3)</f>
        <v>0.85648351638594344</v>
      </c>
      <c r="P6" s="38" t="s">
        <v>156</v>
      </c>
      <c r="Q6" s="38">
        <f>_xlfn.PERCENTILE.EXC(C:E,0.75)</f>
        <v>280</v>
      </c>
      <c r="R6" s="38"/>
    </row>
    <row r="7" spans="1:18">
      <c r="A7" s="308"/>
      <c r="C7" s="43">
        <v>280</v>
      </c>
      <c r="D7" s="118" t="s">
        <v>157</v>
      </c>
      <c r="E7" s="39">
        <f>MIN(C:C)</f>
        <v>142</v>
      </c>
      <c r="F7" s="125">
        <v>0.1</v>
      </c>
      <c r="H7" s="44" t="s">
        <v>158</v>
      </c>
      <c r="I7" s="43">
        <v>3</v>
      </c>
      <c r="J7" s="49">
        <v>3</v>
      </c>
      <c r="K7" s="38">
        <f t="shared" si="0"/>
        <v>9</v>
      </c>
      <c r="L7" s="81">
        <f>SUM(J:J)</f>
        <v>17</v>
      </c>
      <c r="M7" s="38">
        <f t="shared" si="1"/>
        <v>2.0346020761245684</v>
      </c>
      <c r="P7" s="38" t="s">
        <v>159</v>
      </c>
      <c r="Q7" s="38">
        <f>_xlfn.PERCENTILE.INC(C:E,0.75)</f>
        <v>280</v>
      </c>
      <c r="R7" s="38"/>
    </row>
    <row r="8" spans="1:18">
      <c r="A8" s="309"/>
      <c r="C8" s="43">
        <v>272</v>
      </c>
      <c r="E8" s="39"/>
      <c r="F8" s="125">
        <v>0.1</v>
      </c>
      <c r="J8" s="49"/>
      <c r="K8" s="38" t="str">
        <f t="shared" si="0"/>
        <v/>
      </c>
      <c r="M8" s="38" t="str">
        <f t="shared" si="1"/>
        <v/>
      </c>
      <c r="P8" s="37" t="s">
        <v>160</v>
      </c>
      <c r="Q8" s="37">
        <f>AVERAGE(Q6:Q7)</f>
        <v>280</v>
      </c>
      <c r="R8" s="38"/>
    </row>
    <row r="9" spans="1:18">
      <c r="A9" s="128" t="s">
        <v>161</v>
      </c>
      <c r="C9" s="43">
        <v>160</v>
      </c>
      <c r="D9" s="118" t="s">
        <v>162</v>
      </c>
      <c r="E9" s="39">
        <f>MEDIAN(C:C)</f>
        <v>266</v>
      </c>
      <c r="F9" s="125">
        <v>0.1</v>
      </c>
      <c r="J9" s="49"/>
      <c r="K9" s="38" t="str">
        <f t="shared" ref="K9:K18" si="2">IF(ISBLANK(J9),"",(I9*J9))</f>
        <v/>
      </c>
      <c r="M9" s="38" t="str">
        <f t="shared" ref="M9:M18" si="3">IF(ISBLANK(J9),"",(I9-L$3)^2*J9)</f>
        <v/>
      </c>
      <c r="P9" s="124" t="s">
        <v>163</v>
      </c>
      <c r="Q9" s="37">
        <f>Q8-Q5</f>
        <v>68</v>
      </c>
    </row>
    <row r="10" spans="1:18" ht="30">
      <c r="A10" s="112" t="s">
        <v>164</v>
      </c>
      <c r="C10" s="43">
        <v>220</v>
      </c>
      <c r="E10" s="39"/>
      <c r="F10" s="125">
        <v>0.1</v>
      </c>
      <c r="J10" s="49"/>
      <c r="K10" s="38" t="str">
        <f t="shared" si="2"/>
        <v/>
      </c>
      <c r="M10" s="38" t="str">
        <f t="shared" si="3"/>
        <v/>
      </c>
    </row>
    <row r="11" spans="1:18">
      <c r="A11" s="129" t="s">
        <v>165</v>
      </c>
      <c r="C11" s="43">
        <v>226</v>
      </c>
      <c r="D11" s="118" t="s">
        <v>166</v>
      </c>
      <c r="E11" s="39">
        <f>MAX(C:C)</f>
        <v>360</v>
      </c>
      <c r="F11" s="125">
        <v>0.1</v>
      </c>
      <c r="J11" s="49"/>
      <c r="K11" s="38" t="str">
        <f t="shared" si="2"/>
        <v/>
      </c>
      <c r="M11" s="38" t="str">
        <f t="shared" si="3"/>
        <v/>
      </c>
      <c r="P11" s="38" t="s">
        <v>167</v>
      </c>
      <c r="Q11" s="130" t="s">
        <v>40</v>
      </c>
      <c r="R11" s="130" t="s">
        <v>168</v>
      </c>
    </row>
    <row r="12" spans="1:18">
      <c r="A12" s="112" t="s">
        <v>169</v>
      </c>
      <c r="C12" s="43">
        <v>242</v>
      </c>
      <c r="D12" s="118" t="s">
        <v>68</v>
      </c>
      <c r="E12" s="39">
        <f>E11-E7</f>
        <v>218</v>
      </c>
      <c r="F12" s="125">
        <v>0.1</v>
      </c>
      <c r="J12" s="49"/>
      <c r="K12" s="38" t="str">
        <f t="shared" si="2"/>
        <v/>
      </c>
      <c r="M12" s="38" t="str">
        <f t="shared" si="3"/>
        <v/>
      </c>
      <c r="P12" s="116" t="s">
        <v>170</v>
      </c>
      <c r="Q12" s="38">
        <f>Q5</f>
        <v>212</v>
      </c>
      <c r="R12" s="116">
        <v>1</v>
      </c>
    </row>
    <row r="13" spans="1:18">
      <c r="A13" s="112" t="s">
        <v>171</v>
      </c>
      <c r="C13" s="43">
        <v>186</v>
      </c>
      <c r="F13" s="125">
        <v>0.1</v>
      </c>
      <c r="J13" s="49"/>
      <c r="K13" s="38" t="str">
        <f t="shared" si="2"/>
        <v/>
      </c>
      <c r="M13" s="38" t="str">
        <f t="shared" si="3"/>
        <v/>
      </c>
      <c r="P13" s="116" t="s">
        <v>172</v>
      </c>
      <c r="Q13" s="38">
        <f>Q12</f>
        <v>212</v>
      </c>
      <c r="R13" s="116">
        <v>-1</v>
      </c>
    </row>
    <row r="14" spans="1:18">
      <c r="A14" s="131" t="s">
        <v>173</v>
      </c>
      <c r="C14" s="43">
        <v>266</v>
      </c>
      <c r="F14" s="125">
        <v>0.1</v>
      </c>
      <c r="J14" s="49"/>
      <c r="K14" s="38" t="str">
        <f t="shared" si="2"/>
        <v/>
      </c>
      <c r="M14" s="38" t="str">
        <f t="shared" si="3"/>
        <v/>
      </c>
      <c r="P14" s="116" t="s">
        <v>174</v>
      </c>
      <c r="Q14" s="38">
        <f>Q8</f>
        <v>280</v>
      </c>
      <c r="R14" s="116">
        <v>-1</v>
      </c>
    </row>
    <row r="15" spans="1:18">
      <c r="A15" s="131" t="s">
        <v>175</v>
      </c>
      <c r="C15" s="43">
        <v>206</v>
      </c>
      <c r="F15" s="125">
        <v>0.1</v>
      </c>
      <c r="J15" s="49"/>
      <c r="K15" s="38" t="str">
        <f t="shared" si="2"/>
        <v/>
      </c>
      <c r="M15" s="38" t="str">
        <f t="shared" si="3"/>
        <v/>
      </c>
      <c r="P15" s="116" t="s">
        <v>176</v>
      </c>
      <c r="Q15" s="38">
        <f>Q14</f>
        <v>280</v>
      </c>
      <c r="R15" s="116">
        <v>1</v>
      </c>
    </row>
    <row r="16" spans="1:18" ht="90">
      <c r="A16" s="112" t="s">
        <v>177</v>
      </c>
      <c r="C16" s="43">
        <v>318</v>
      </c>
      <c r="F16" s="125">
        <v>0.1</v>
      </c>
      <c r="K16" s="38" t="str">
        <f t="shared" si="2"/>
        <v/>
      </c>
      <c r="M16" s="38" t="str">
        <f t="shared" si="3"/>
        <v/>
      </c>
      <c r="P16" s="116" t="str">
        <f>P12</f>
        <v>upper left</v>
      </c>
      <c r="Q16" s="116">
        <f>Q12</f>
        <v>212</v>
      </c>
      <c r="R16" s="116">
        <f>R12</f>
        <v>1</v>
      </c>
    </row>
    <row r="17" spans="1:18" ht="60">
      <c r="A17" s="112" t="s">
        <v>178</v>
      </c>
      <c r="C17" s="43">
        <v>294</v>
      </c>
      <c r="D17" s="132"/>
      <c r="F17" s="125">
        <v>0.1</v>
      </c>
      <c r="K17" s="38" t="str">
        <f t="shared" si="2"/>
        <v/>
      </c>
      <c r="L17" s="132"/>
      <c r="M17" s="38" t="str">
        <f t="shared" si="3"/>
        <v/>
      </c>
      <c r="P17" s="116" t="s">
        <v>179</v>
      </c>
      <c r="Q17" s="41">
        <f>E9</f>
        <v>266</v>
      </c>
      <c r="R17" s="116">
        <v>1</v>
      </c>
    </row>
    <row r="18" spans="1:18" ht="60">
      <c r="A18" s="112" t="s">
        <v>180</v>
      </c>
      <c r="C18" s="43">
        <v>282</v>
      </c>
      <c r="F18" s="125">
        <v>0.1</v>
      </c>
      <c r="K18" s="38" t="str">
        <f t="shared" si="2"/>
        <v/>
      </c>
      <c r="M18" s="38" t="str">
        <f t="shared" si="3"/>
        <v/>
      </c>
      <c r="P18" s="116" t="s">
        <v>181</v>
      </c>
      <c r="Q18" s="41">
        <f>Q17</f>
        <v>266</v>
      </c>
      <c r="R18" s="116">
        <v>-1</v>
      </c>
    </row>
    <row r="19" spans="1:18" ht="45">
      <c r="A19" s="112" t="s">
        <v>182</v>
      </c>
      <c r="C19" s="43">
        <v>234</v>
      </c>
      <c r="F19" s="125">
        <v>0.1</v>
      </c>
      <c r="P19" s="116" t="s">
        <v>183</v>
      </c>
      <c r="Q19" s="38">
        <f>Q5-1.5*Q9</f>
        <v>110</v>
      </c>
      <c r="R19" s="116">
        <v>0</v>
      </c>
    </row>
    <row r="20" spans="1:18" ht="30">
      <c r="A20" s="112" t="s">
        <v>184</v>
      </c>
      <c r="C20" s="43">
        <v>224</v>
      </c>
      <c r="F20" s="125">
        <v>0.1</v>
      </c>
      <c r="P20" s="116" t="s">
        <v>185</v>
      </c>
      <c r="Q20" s="38">
        <f>Q8+1.5*Q9</f>
        <v>382</v>
      </c>
      <c r="R20" s="116">
        <v>0</v>
      </c>
    </row>
    <row r="21" spans="1:18" ht="30">
      <c r="A21" s="112" t="s">
        <v>186</v>
      </c>
      <c r="C21" s="43">
        <v>276</v>
      </c>
      <c r="F21" s="125">
        <v>0.1</v>
      </c>
      <c r="Q21" s="38"/>
    </row>
    <row r="22" spans="1:18" ht="30">
      <c r="A22" s="133" t="s">
        <v>187</v>
      </c>
      <c r="C22" s="43">
        <v>282</v>
      </c>
      <c r="F22" s="125">
        <v>0.1</v>
      </c>
    </row>
    <row r="23" spans="1:18" s="134" customFormat="1">
      <c r="A23" s="112"/>
      <c r="B23" s="113"/>
      <c r="C23" s="43">
        <v>360</v>
      </c>
      <c r="D23" s="118"/>
      <c r="E23" s="124"/>
      <c r="F23" s="125">
        <v>0.1</v>
      </c>
      <c r="G23" s="113"/>
      <c r="H23" s="44"/>
      <c r="I23" s="43"/>
      <c r="J23" s="43"/>
      <c r="K23" s="116"/>
      <c r="L23" s="118"/>
      <c r="M23" s="116"/>
      <c r="P23" s="116"/>
      <c r="Q23" s="116"/>
      <c r="R23" s="116"/>
    </row>
    <row r="24" spans="1:18" s="134" customFormat="1" ht="30.75" customHeight="1">
      <c r="A24" s="112"/>
      <c r="B24" s="113"/>
      <c r="C24" s="43">
        <v>310</v>
      </c>
      <c r="D24" s="118"/>
      <c r="E24" s="124"/>
      <c r="F24" s="125">
        <v>0.1</v>
      </c>
      <c r="G24" s="113"/>
      <c r="H24" s="44"/>
      <c r="I24" s="43"/>
      <c r="J24" s="43"/>
      <c r="K24" s="116"/>
      <c r="L24" s="118"/>
      <c r="M24" s="116"/>
      <c r="P24" s="116"/>
      <c r="Q24" s="116"/>
      <c r="R24" s="116"/>
    </row>
    <row r="25" spans="1:18" ht="28.5" customHeight="1">
      <c r="C25" s="43">
        <v>280</v>
      </c>
      <c r="F25" s="125">
        <v>0.1</v>
      </c>
    </row>
    <row r="26" spans="1:18">
      <c r="A26" s="135"/>
      <c r="C26" s="43">
        <v>278</v>
      </c>
      <c r="F26" s="125">
        <v>0.1</v>
      </c>
    </row>
    <row r="27" spans="1:18">
      <c r="A27" s="135"/>
      <c r="C27" s="43">
        <v>288</v>
      </c>
      <c r="F27" s="125">
        <v>0.1</v>
      </c>
    </row>
    <row r="28" spans="1:18" s="137" customFormat="1">
      <c r="A28" s="135"/>
      <c r="B28" s="136"/>
      <c r="C28" s="45">
        <v>244</v>
      </c>
      <c r="D28" s="118"/>
      <c r="E28" s="124"/>
      <c r="F28" s="125">
        <v>0.1</v>
      </c>
      <c r="G28" s="136"/>
      <c r="H28" s="139"/>
      <c r="I28" s="45"/>
      <c r="J28" s="45"/>
      <c r="K28" s="41"/>
      <c r="L28" s="118"/>
      <c r="M28" s="41"/>
      <c r="P28" s="121"/>
      <c r="Q28" s="121"/>
      <c r="R28" s="121"/>
    </row>
    <row r="29" spans="1:18" s="137" customFormat="1">
      <c r="A29" s="135"/>
      <c r="B29" s="136"/>
      <c r="C29" s="45">
        <v>236</v>
      </c>
      <c r="D29" s="118"/>
      <c r="E29" s="124"/>
      <c r="F29" s="125">
        <v>0.1</v>
      </c>
      <c r="G29" s="136"/>
      <c r="H29" s="139"/>
      <c r="I29" s="45"/>
      <c r="J29" s="45"/>
      <c r="K29" s="41"/>
      <c r="L29" s="118"/>
      <c r="M29" s="41"/>
      <c r="P29" s="121"/>
      <c r="Q29" s="121"/>
      <c r="R29" s="121"/>
    </row>
    <row r="30" spans="1:18" s="137" customFormat="1">
      <c r="A30" s="112"/>
      <c r="B30" s="136"/>
      <c r="C30" s="45"/>
      <c r="D30" s="118"/>
      <c r="E30" s="124"/>
      <c r="F30" s="125">
        <v>0.1</v>
      </c>
      <c r="G30" s="136"/>
      <c r="H30" s="139"/>
      <c r="I30" s="45"/>
      <c r="J30" s="45"/>
      <c r="K30" s="41"/>
      <c r="L30" s="118"/>
      <c r="M30" s="41"/>
      <c r="P30" s="116"/>
      <c r="Q30" s="116"/>
      <c r="R30" s="116"/>
    </row>
    <row r="31" spans="1:18" s="137" customFormat="1">
      <c r="A31" s="115" t="s">
        <v>20</v>
      </c>
      <c r="B31" s="136"/>
      <c r="C31" s="45"/>
      <c r="D31" s="118"/>
      <c r="E31" s="124"/>
      <c r="F31" s="125">
        <v>0.1</v>
      </c>
      <c r="G31" s="136"/>
      <c r="H31" s="139"/>
      <c r="I31" s="45"/>
      <c r="J31" s="45"/>
      <c r="K31" s="41"/>
      <c r="L31" s="118"/>
      <c r="M31" s="41"/>
      <c r="P31" s="116"/>
      <c r="Q31" s="116"/>
      <c r="R31" s="116"/>
    </row>
    <row r="32" spans="1:18">
      <c r="F32" s="125">
        <v>0.1</v>
      </c>
    </row>
    <row r="33" spans="6:18">
      <c r="F33" s="125">
        <v>0.1</v>
      </c>
      <c r="P33" s="41"/>
      <c r="Q33" s="41"/>
      <c r="R33" s="41"/>
    </row>
    <row r="34" spans="6:18">
      <c r="F34" s="125">
        <v>0.1</v>
      </c>
      <c r="P34" s="41"/>
      <c r="Q34" s="41"/>
      <c r="R34" s="41"/>
    </row>
    <row r="35" spans="6:18">
      <c r="F35" s="125">
        <v>0.1</v>
      </c>
      <c r="P35" s="41"/>
      <c r="Q35" s="41"/>
      <c r="R35" s="41"/>
    </row>
    <row r="36" spans="6:18">
      <c r="F36" s="125">
        <v>0.1</v>
      </c>
      <c r="P36" s="41"/>
      <c r="Q36" s="41"/>
      <c r="R36" s="41"/>
    </row>
    <row r="37" spans="6:18">
      <c r="F37" s="125">
        <v>0.1</v>
      </c>
    </row>
    <row r="38" spans="6:18">
      <c r="F38" s="125">
        <v>0.1</v>
      </c>
    </row>
    <row r="39" spans="6:18">
      <c r="F39" s="125">
        <v>0.1</v>
      </c>
    </row>
    <row r="40" spans="6:18">
      <c r="F40" s="125">
        <v>0.1</v>
      </c>
    </row>
    <row r="41" spans="6:18">
      <c r="F41" s="125">
        <v>0.1</v>
      </c>
    </row>
    <row r="42" spans="6:18">
      <c r="F42" s="125">
        <v>0.1</v>
      </c>
    </row>
    <row r="43" spans="6:18">
      <c r="F43" s="125">
        <v>0.1</v>
      </c>
    </row>
    <row r="44" spans="6:18">
      <c r="F44" s="125">
        <v>0.1</v>
      </c>
    </row>
    <row r="45" spans="6:18">
      <c r="F45" s="125">
        <v>0.1</v>
      </c>
    </row>
    <row r="46" spans="6:18">
      <c r="F46" s="125">
        <v>0.1</v>
      </c>
    </row>
    <row r="47" spans="6:18">
      <c r="F47" s="125">
        <v>0.1</v>
      </c>
    </row>
    <row r="48" spans="6:18">
      <c r="F48" s="125">
        <v>0.1</v>
      </c>
    </row>
    <row r="49" spans="6:6">
      <c r="F49" s="125">
        <v>0.1</v>
      </c>
    </row>
    <row r="50" spans="6:6">
      <c r="F50" s="125">
        <v>0.1</v>
      </c>
    </row>
    <row r="51" spans="6:6">
      <c r="F51" s="125">
        <v>0.1</v>
      </c>
    </row>
    <row r="52" spans="6:6">
      <c r="F52" s="125">
        <v>0.1</v>
      </c>
    </row>
    <row r="53" spans="6:6">
      <c r="F53" s="125">
        <v>0.1</v>
      </c>
    </row>
    <row r="54" spans="6:6">
      <c r="F54" s="125">
        <v>0.1</v>
      </c>
    </row>
    <row r="55" spans="6:6">
      <c r="F55" s="125">
        <v>0.1</v>
      </c>
    </row>
    <row r="56" spans="6:6">
      <c r="F56" s="125">
        <v>0.1</v>
      </c>
    </row>
    <row r="57" spans="6:6">
      <c r="F57" s="125">
        <v>0.1</v>
      </c>
    </row>
    <row r="58" spans="6:6">
      <c r="F58" s="125">
        <v>0.1</v>
      </c>
    </row>
    <row r="59" spans="6:6">
      <c r="F59" s="125">
        <v>0.1</v>
      </c>
    </row>
    <row r="60" spans="6:6">
      <c r="F60" s="125">
        <v>0.1</v>
      </c>
    </row>
    <row r="61" spans="6:6">
      <c r="F61" s="125">
        <v>0.1</v>
      </c>
    </row>
    <row r="62" spans="6:6">
      <c r="F62" s="125">
        <v>0.1</v>
      </c>
    </row>
    <row r="63" spans="6:6">
      <c r="F63" s="125">
        <v>0.1</v>
      </c>
    </row>
    <row r="64" spans="6:6">
      <c r="F64" s="125">
        <v>0.1</v>
      </c>
    </row>
    <row r="65" spans="6:6">
      <c r="F65" s="125">
        <v>0.1</v>
      </c>
    </row>
    <row r="66" spans="6:6">
      <c r="F66" s="125">
        <v>0.1</v>
      </c>
    </row>
    <row r="67" spans="6:6">
      <c r="F67" s="125">
        <v>0.1</v>
      </c>
    </row>
    <row r="68" spans="6:6">
      <c r="F68" s="125">
        <v>0.1</v>
      </c>
    </row>
    <row r="69" spans="6:6">
      <c r="F69" s="125">
        <v>0.1</v>
      </c>
    </row>
    <row r="70" spans="6:6">
      <c r="F70" s="125">
        <v>0.1</v>
      </c>
    </row>
    <row r="71" spans="6:6">
      <c r="F71" s="125">
        <v>0.1</v>
      </c>
    </row>
    <row r="72" spans="6:6">
      <c r="F72" s="125">
        <v>0.1</v>
      </c>
    </row>
    <row r="73" spans="6:6">
      <c r="F73" s="125">
        <v>0.1</v>
      </c>
    </row>
    <row r="74" spans="6:6">
      <c r="F74" s="125">
        <v>0.1</v>
      </c>
    </row>
    <row r="75" spans="6:6">
      <c r="F75" s="125">
        <v>0.1</v>
      </c>
    </row>
    <row r="76" spans="6:6">
      <c r="F76" s="125">
        <v>0.1</v>
      </c>
    </row>
    <row r="77" spans="6:6">
      <c r="F77" s="125">
        <v>0.1</v>
      </c>
    </row>
    <row r="78" spans="6:6">
      <c r="F78" s="125">
        <v>0.1</v>
      </c>
    </row>
    <row r="79" spans="6:6">
      <c r="F79" s="125">
        <v>0.1</v>
      </c>
    </row>
    <row r="80" spans="6:6">
      <c r="F80" s="125">
        <v>0.1</v>
      </c>
    </row>
    <row r="81" spans="6:6">
      <c r="F81" s="125">
        <v>0.1</v>
      </c>
    </row>
    <row r="82" spans="6:6">
      <c r="F82" s="125">
        <v>0.1</v>
      </c>
    </row>
    <row r="83" spans="6:6">
      <c r="F83" s="125">
        <v>0.1</v>
      </c>
    </row>
    <row r="84" spans="6:6">
      <c r="F84" s="125">
        <v>0.1</v>
      </c>
    </row>
    <row r="85" spans="6:6">
      <c r="F85" s="125">
        <v>0.1</v>
      </c>
    </row>
    <row r="86" spans="6:6">
      <c r="F86" s="125">
        <v>0.1</v>
      </c>
    </row>
    <row r="87" spans="6:6">
      <c r="F87" s="125">
        <v>0.1</v>
      </c>
    </row>
    <row r="88" spans="6:6">
      <c r="F88" s="125">
        <v>0.1</v>
      </c>
    </row>
    <row r="89" spans="6:6">
      <c r="F89" s="125">
        <v>0.1</v>
      </c>
    </row>
    <row r="90" spans="6:6">
      <c r="F90" s="125">
        <v>0.1</v>
      </c>
    </row>
    <row r="91" spans="6:6">
      <c r="F91" s="125">
        <v>0.1</v>
      </c>
    </row>
    <row r="92" spans="6:6">
      <c r="F92" s="125">
        <v>0.1</v>
      </c>
    </row>
    <row r="93" spans="6:6">
      <c r="F93" s="125">
        <v>0.1</v>
      </c>
    </row>
    <row r="94" spans="6:6">
      <c r="F94" s="125">
        <v>0.1</v>
      </c>
    </row>
    <row r="95" spans="6:6">
      <c r="F95" s="125">
        <v>0.1</v>
      </c>
    </row>
    <row r="96" spans="6:6">
      <c r="F96" s="125">
        <v>0.1</v>
      </c>
    </row>
    <row r="97" spans="6:6">
      <c r="F97" s="125">
        <v>0.1</v>
      </c>
    </row>
    <row r="98" spans="6:6">
      <c r="F98" s="125">
        <v>0.1</v>
      </c>
    </row>
    <row r="99" spans="6:6">
      <c r="F99" s="125">
        <v>0.1</v>
      </c>
    </row>
    <row r="100" spans="6:6">
      <c r="F100" s="125">
        <v>0.1</v>
      </c>
    </row>
    <row r="101" spans="6:6">
      <c r="F101" s="125">
        <v>0.1</v>
      </c>
    </row>
    <row r="102" spans="6:6">
      <c r="F102" s="125">
        <v>0.1</v>
      </c>
    </row>
    <row r="103" spans="6:6">
      <c r="F103" s="125">
        <v>0.1</v>
      </c>
    </row>
    <row r="104" spans="6:6">
      <c r="F104" s="125">
        <v>0.1</v>
      </c>
    </row>
    <row r="105" spans="6:6">
      <c r="F105" s="125">
        <v>0.1</v>
      </c>
    </row>
    <row r="106" spans="6:6">
      <c r="F106" s="125">
        <v>0.1</v>
      </c>
    </row>
    <row r="107" spans="6:6">
      <c r="F107" s="125">
        <v>0.1</v>
      </c>
    </row>
    <row r="108" spans="6:6">
      <c r="F108" s="125">
        <v>0.1</v>
      </c>
    </row>
    <row r="109" spans="6:6">
      <c r="F109" s="125">
        <v>0.1</v>
      </c>
    </row>
    <row r="110" spans="6:6">
      <c r="F110" s="125">
        <v>0.1</v>
      </c>
    </row>
    <row r="111" spans="6:6">
      <c r="F111" s="125">
        <v>0.1</v>
      </c>
    </row>
    <row r="112" spans="6:6">
      <c r="F112" s="125">
        <v>0.1</v>
      </c>
    </row>
    <row r="113" spans="6:6">
      <c r="F113" s="125">
        <v>0.1</v>
      </c>
    </row>
  </sheetData>
  <sheetProtection sheet="1" objects="1" scenarios="1" selectLockedCells="1"/>
  <sortState xmlns:xlrd2="http://schemas.microsoft.com/office/spreadsheetml/2017/richdata2" ref="C3:C38">
    <sortCondition ref="C2"/>
  </sortState>
  <mergeCells count="4">
    <mergeCell ref="A6:A8"/>
    <mergeCell ref="D2:E2"/>
    <mergeCell ref="H1:N1"/>
    <mergeCell ref="C1:E1"/>
  </mergeCells>
  <hyperlinks>
    <hyperlink ref="A22" r:id="rId1" location="/display" xr:uid="{00000000-0004-0000-0500-000000000000}"/>
  </hyperlinks>
  <pageMargins left="0.7" right="0.7" top="0.75" bottom="0.75" header="0.3" footer="0.3"/>
  <pageSetup orientation="portrait" horizontalDpi="4294967295" verticalDpi="4294967295" r:id="rId2"/>
  <ignoredErrors>
    <ignoredError sqref="Q14" formula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30"/>
  <sheetViews>
    <sheetView zoomScale="140" zoomScaleNormal="140" zoomScaleSheetLayoutView="90" workbookViewId="0">
      <selection activeCell="H2" sqref="H2"/>
    </sheetView>
  </sheetViews>
  <sheetFormatPr defaultColWidth="9.140625" defaultRowHeight="15"/>
  <cols>
    <col min="1" max="1" width="19.5703125" style="147" customWidth="1"/>
    <col min="2" max="2" width="1.7109375" style="3" customWidth="1"/>
    <col min="3" max="3" width="22" style="146" bestFit="1" customWidth="1"/>
    <col min="4" max="4" width="10.7109375" style="3" customWidth="1"/>
    <col min="5" max="6" width="1.7109375" style="3" customWidth="1"/>
    <col min="7" max="7" width="24.7109375" style="146" customWidth="1"/>
    <col min="8" max="8" width="10.7109375" style="3" customWidth="1"/>
    <col min="9" max="9" width="28.140625" style="3" bestFit="1" customWidth="1"/>
    <col min="10" max="16384" width="9.140625" style="3"/>
  </cols>
  <sheetData>
    <row r="1" spans="1:9" s="122" customFormat="1" ht="30">
      <c r="A1" s="129" t="s">
        <v>188</v>
      </c>
      <c r="C1" s="319" t="s">
        <v>189</v>
      </c>
      <c r="D1" s="320"/>
      <c r="F1" s="142"/>
      <c r="G1" s="122" t="s">
        <v>190</v>
      </c>
      <c r="H1" s="142"/>
      <c r="I1" s="143"/>
    </row>
    <row r="2" spans="1:9" ht="15.75" thickBot="1">
      <c r="A2" s="321" t="s">
        <v>191</v>
      </c>
      <c r="C2" s="144" t="s">
        <v>192</v>
      </c>
      <c r="D2" s="66">
        <v>336</v>
      </c>
      <c r="G2" s="144" t="s">
        <v>193</v>
      </c>
      <c r="H2" s="140">
        <v>231</v>
      </c>
    </row>
    <row r="3" spans="1:9">
      <c r="A3" s="321"/>
      <c r="C3" s="144" t="s">
        <v>140</v>
      </c>
      <c r="D3" s="66">
        <v>600</v>
      </c>
      <c r="G3" s="144" t="s">
        <v>194</v>
      </c>
      <c r="H3" s="141">
        <v>1000</v>
      </c>
    </row>
    <row r="4" spans="1:9">
      <c r="A4" s="321"/>
      <c r="C4" s="144" t="s">
        <v>195</v>
      </c>
      <c r="D4" s="145">
        <f>D2/D3</f>
        <v>0.56000000000000005</v>
      </c>
      <c r="G4" s="146" t="s">
        <v>196</v>
      </c>
      <c r="H4" s="61">
        <f>H2/H3</f>
        <v>0.23100000000000001</v>
      </c>
    </row>
    <row r="5" spans="1:9">
      <c r="A5" s="318"/>
      <c r="G5" s="146" t="s">
        <v>197</v>
      </c>
      <c r="H5" s="61">
        <f>SQRT(H4*(1-H4)/H3)</f>
        <v>1.3328128150644412E-2</v>
      </c>
    </row>
    <row r="6" spans="1:9" ht="15.75" thickBot="1">
      <c r="A6" s="318"/>
      <c r="G6" s="144" t="s">
        <v>198</v>
      </c>
      <c r="H6" s="140">
        <v>176</v>
      </c>
    </row>
    <row r="7" spans="1:9" ht="15" customHeight="1">
      <c r="A7" s="322" t="s">
        <v>199</v>
      </c>
      <c r="C7" s="144"/>
      <c r="D7" s="144"/>
      <c r="G7" s="144" t="s">
        <v>200</v>
      </c>
      <c r="H7" s="141">
        <v>1200</v>
      </c>
    </row>
    <row r="8" spans="1:9" ht="15" customHeight="1">
      <c r="A8" s="323"/>
      <c r="G8" s="146" t="s">
        <v>201</v>
      </c>
      <c r="H8" s="61">
        <f>H6/H7</f>
        <v>0.14666666666666667</v>
      </c>
    </row>
    <row r="9" spans="1:9">
      <c r="A9" s="324"/>
      <c r="G9" s="146" t="s">
        <v>202</v>
      </c>
      <c r="H9" s="145">
        <f>SQRT(H8*(1-H8)/H7)</f>
        <v>1.0212555816067606E-2</v>
      </c>
    </row>
    <row r="10" spans="1:9" ht="18">
      <c r="C10" s="146" t="s">
        <v>203</v>
      </c>
      <c r="D10" s="66">
        <v>0.67</v>
      </c>
      <c r="G10" s="146" t="s">
        <v>204</v>
      </c>
      <c r="H10" s="148">
        <v>0</v>
      </c>
      <c r="I10" s="3" t="s">
        <v>205</v>
      </c>
    </row>
    <row r="11" spans="1:9">
      <c r="G11" s="146" t="s">
        <v>206</v>
      </c>
      <c r="H11" s="145">
        <f>H4-H8</f>
        <v>8.4333333333333343E-2</v>
      </c>
    </row>
    <row r="12" spans="1:9" ht="30" customHeight="1">
      <c r="G12" s="146" t="s">
        <v>207</v>
      </c>
      <c r="H12" s="145">
        <f>(H2+H6)/(H3+H7)</f>
        <v>0.185</v>
      </c>
    </row>
    <row r="13" spans="1:9" ht="36">
      <c r="A13" s="147" t="s">
        <v>20</v>
      </c>
      <c r="C13" s="144" t="s">
        <v>208</v>
      </c>
      <c r="D13" s="149">
        <f>SQRT((D10*(1-D10))/D3)</f>
        <v>1.9196353820452466E-2</v>
      </c>
      <c r="G13" s="2" t="s">
        <v>209</v>
      </c>
      <c r="H13" s="149">
        <f>SQRT((H12*(1-H12)/H3)+(H12*(1-H12)/H7))</f>
        <v>1.6625908496480223E-2</v>
      </c>
    </row>
    <row r="14" spans="1:9">
      <c r="G14" s="146" t="s">
        <v>210</v>
      </c>
      <c r="H14" s="145">
        <f>H4-H8</f>
        <v>8.4333333333333343E-2</v>
      </c>
    </row>
    <row r="15" spans="1:9">
      <c r="C15" s="144" t="s">
        <v>211</v>
      </c>
      <c r="D15" s="150">
        <f>(D4-D10)/D13</f>
        <v>-5.7302548717768556</v>
      </c>
      <c r="G15" s="144" t="s">
        <v>212</v>
      </c>
      <c r="H15" s="149">
        <f>H11/H13</f>
        <v>5.0724045155900548</v>
      </c>
    </row>
    <row r="16" spans="1:9" ht="33" customHeight="1">
      <c r="C16" s="144" t="s">
        <v>213</v>
      </c>
      <c r="D16" s="150">
        <f>_xlfn.NORM.S.DIST(D$15,TRUE)</f>
        <v>5.0139922504745281E-9</v>
      </c>
      <c r="G16" s="144" t="s">
        <v>214</v>
      </c>
      <c r="H16" s="150">
        <f>_xlfn.NORM.S.DIST(H$15,TRUE)</f>
        <v>0.99999980358987384</v>
      </c>
    </row>
    <row r="17" spans="1:8" ht="33">
      <c r="A17" s="151"/>
      <c r="C17" s="144" t="s">
        <v>215</v>
      </c>
      <c r="D17" s="150">
        <f>2*MIN(D16,D18)</f>
        <v>1.0027984500949056E-8</v>
      </c>
      <c r="G17" s="144" t="s">
        <v>216</v>
      </c>
      <c r="H17" s="150">
        <f>2*MIN(H16,H18)</f>
        <v>3.9282025232623141E-7</v>
      </c>
    </row>
    <row r="18" spans="1:8" ht="33">
      <c r="C18" s="144" t="s">
        <v>217</v>
      </c>
      <c r="D18" s="150">
        <f>1-D16</f>
        <v>0.99999999498600778</v>
      </c>
      <c r="G18" s="144" t="s">
        <v>218</v>
      </c>
      <c r="H18" s="150">
        <f>1-H16</f>
        <v>1.9641012616311571E-7</v>
      </c>
    </row>
    <row r="19" spans="1:8">
      <c r="C19" s="3"/>
      <c r="G19" s="144"/>
    </row>
    <row r="20" spans="1:8" ht="16.5">
      <c r="C20" s="316" t="s">
        <v>219</v>
      </c>
      <c r="D20" s="315"/>
      <c r="F20" s="152"/>
      <c r="G20" s="316" t="s">
        <v>220</v>
      </c>
      <c r="H20" s="317"/>
    </row>
    <row r="21" spans="1:8" ht="31.5" customHeight="1">
      <c r="C21" s="314" t="s">
        <v>221</v>
      </c>
      <c r="D21" s="315"/>
      <c r="F21" s="152"/>
      <c r="G21" s="314" t="s">
        <v>221</v>
      </c>
      <c r="H21" s="315"/>
    </row>
    <row r="22" spans="1:8" ht="30">
      <c r="C22" s="113" t="s">
        <v>222</v>
      </c>
      <c r="D22" s="73">
        <v>0.95</v>
      </c>
      <c r="G22" s="113" t="s">
        <v>222</v>
      </c>
      <c r="H22" s="1">
        <v>0.95</v>
      </c>
    </row>
    <row r="23" spans="1:8" ht="49.5">
      <c r="C23" s="144" t="s">
        <v>223</v>
      </c>
      <c r="D23" s="149">
        <f>SQRT(D4*(1-D4)/D3)</f>
        <v>2.0264912204760885E-2</v>
      </c>
      <c r="G23" s="144" t="s">
        <v>224</v>
      </c>
      <c r="H23" s="149">
        <f>SQRT((H4*(1-H4)/H3)+(H8*(1-H8)/H7))</f>
        <v>1.6790928988483521E-2</v>
      </c>
    </row>
    <row r="24" spans="1:8">
      <c r="C24" s="113" t="s">
        <v>225</v>
      </c>
      <c r="D24" s="38">
        <f>1-D22</f>
        <v>5.0000000000000044E-2</v>
      </c>
      <c r="G24" s="113" t="s">
        <v>225</v>
      </c>
      <c r="H24" s="38">
        <f>1-H22</f>
        <v>5.0000000000000044E-2</v>
      </c>
    </row>
    <row r="25" spans="1:8">
      <c r="C25" s="153" t="s">
        <v>226</v>
      </c>
      <c r="D25" s="38">
        <f>D24/2</f>
        <v>2.5000000000000022E-2</v>
      </c>
      <c r="G25" s="153" t="s">
        <v>226</v>
      </c>
      <c r="H25" s="38">
        <f>H24/2</f>
        <v>2.5000000000000022E-2</v>
      </c>
    </row>
    <row r="26" spans="1:8" ht="18">
      <c r="C26" s="146" t="s">
        <v>227</v>
      </c>
      <c r="D26" s="145">
        <f>ABS(_xlfn.NORM.S.INV(D25))</f>
        <v>1.9599639845400536</v>
      </c>
      <c r="G26" s="146" t="s">
        <v>227</v>
      </c>
      <c r="H26" s="145">
        <f>ABS(_xlfn.NORM.S.INV(H25))</f>
        <v>1.9599639845400536</v>
      </c>
    </row>
    <row r="27" spans="1:8">
      <c r="C27" s="144" t="s">
        <v>228</v>
      </c>
      <c r="D27" s="150">
        <f>D$26*D$23</f>
        <v>3.9718498071197504E-2</v>
      </c>
      <c r="G27" s="144" t="s">
        <v>228</v>
      </c>
      <c r="H27" s="150">
        <f>H$26*H$23</f>
        <v>3.2909616084397256E-2</v>
      </c>
    </row>
    <row r="28" spans="1:8" ht="18">
      <c r="C28" s="146" t="s">
        <v>229</v>
      </c>
      <c r="D28" s="149"/>
      <c r="G28" s="154" t="s">
        <v>230</v>
      </c>
      <c r="H28" s="149"/>
    </row>
    <row r="29" spans="1:8">
      <c r="C29" s="144" t="s">
        <v>109</v>
      </c>
      <c r="D29" s="150">
        <f>D$4-D27</f>
        <v>0.52028150192880251</v>
      </c>
      <c r="G29" s="144" t="s">
        <v>109</v>
      </c>
      <c r="H29" s="150">
        <f>H$14-H27</f>
        <v>5.1423717248936088E-2</v>
      </c>
    </row>
    <row r="30" spans="1:8">
      <c r="C30" s="144" t="s">
        <v>45</v>
      </c>
      <c r="D30" s="150">
        <f>D$4+D27</f>
        <v>0.59971849807119759</v>
      </c>
      <c r="G30" s="144" t="s">
        <v>45</v>
      </c>
      <c r="H30" s="150">
        <f>H$14+H27</f>
        <v>0.1172429494177306</v>
      </c>
    </row>
  </sheetData>
  <sheetProtection sheet="1" objects="1" scenarios="1" selectLockedCells="1"/>
  <mergeCells count="8">
    <mergeCell ref="C21:D21"/>
    <mergeCell ref="G21:H21"/>
    <mergeCell ref="G20:H20"/>
    <mergeCell ref="A5:A6"/>
    <mergeCell ref="C1:D1"/>
    <mergeCell ref="A2:A4"/>
    <mergeCell ref="C20:D20"/>
    <mergeCell ref="A7:A9"/>
  </mergeCells>
  <pageMargins left="0.7" right="0.7" top="0.75" bottom="0.75" header="0.3" footer="0.3"/>
  <pageSetup scale="97"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100"/>
  <sheetViews>
    <sheetView zoomScale="120" zoomScaleNormal="120" zoomScaleSheetLayoutView="100" workbookViewId="0">
      <selection activeCell="F55" sqref="F55"/>
    </sheetView>
  </sheetViews>
  <sheetFormatPr defaultColWidth="9.140625" defaultRowHeight="15"/>
  <cols>
    <col min="1" max="1" width="19.28515625" style="112" customWidth="1"/>
    <col min="2" max="2" width="1.7109375" style="115" customWidth="1"/>
    <col min="3" max="3" width="18.7109375" style="113" customWidth="1"/>
    <col min="4" max="4" width="11.5703125" style="115" bestFit="1" customWidth="1"/>
    <col min="5" max="5" width="3.7109375" style="115" customWidth="1"/>
    <col min="6" max="6" width="7.7109375" style="43" customWidth="1"/>
    <col min="7" max="7" width="18.7109375" style="113" customWidth="1"/>
    <col min="8" max="8" width="10.42578125" style="115" customWidth="1"/>
    <col min="9" max="9" width="3.7109375" style="115" customWidth="1"/>
    <col min="10" max="11" width="9.140625" style="43" bestFit="1" customWidth="1"/>
    <col min="12" max="12" width="8.42578125" style="116" bestFit="1" customWidth="1"/>
    <col min="13" max="13" width="20.28515625" style="113" customWidth="1"/>
    <col min="14" max="14" width="9.85546875" style="116" customWidth="1"/>
    <col min="15" max="15" width="3.7109375" style="115" customWidth="1"/>
    <col min="16" max="16" width="16.85546875" style="113" customWidth="1"/>
    <col min="17" max="17" width="11" style="115" bestFit="1" customWidth="1"/>
    <col min="18" max="18" width="3.7109375" style="115" customWidth="1"/>
    <col min="19" max="19" width="9.140625" style="43" customWidth="1"/>
    <col min="20" max="20" width="9.28515625" style="43" customWidth="1"/>
    <col min="21" max="21" width="16.85546875" style="113" customWidth="1"/>
    <col min="22" max="22" width="11" style="116" customWidth="1"/>
    <col min="23" max="16384" width="9.140625" style="115"/>
  </cols>
  <sheetData>
    <row r="1" spans="1:22" s="122" customFormat="1" ht="45">
      <c r="A1" s="129" t="s">
        <v>231</v>
      </c>
      <c r="C1" s="332" t="s">
        <v>232</v>
      </c>
      <c r="D1" s="333"/>
      <c r="F1" s="119" t="s">
        <v>108</v>
      </c>
      <c r="G1" s="334" t="s">
        <v>233</v>
      </c>
      <c r="H1" s="335"/>
      <c r="J1" s="119" t="s">
        <v>234</v>
      </c>
      <c r="K1" s="119" t="s">
        <v>235</v>
      </c>
      <c r="L1" s="155" t="s">
        <v>236</v>
      </c>
      <c r="M1" s="334" t="s">
        <v>237</v>
      </c>
      <c r="N1" s="335"/>
      <c r="P1" s="332" t="s">
        <v>238</v>
      </c>
      <c r="Q1" s="333"/>
      <c r="S1" s="156" t="s">
        <v>239</v>
      </c>
      <c r="T1" s="157" t="s">
        <v>240</v>
      </c>
      <c r="U1" s="329" t="s">
        <v>241</v>
      </c>
      <c r="V1" s="330"/>
    </row>
    <row r="2" spans="1:22" s="77" customFormat="1" ht="18.75" thickBot="1">
      <c r="A2" s="331" t="s">
        <v>191</v>
      </c>
      <c r="C2" s="79" t="s">
        <v>242</v>
      </c>
      <c r="D2" s="165">
        <v>4.8</v>
      </c>
      <c r="F2" s="43">
        <v>73</v>
      </c>
      <c r="G2" s="79" t="s">
        <v>242</v>
      </c>
      <c r="H2" s="37">
        <f>AVERAGE(F:F)</f>
        <v>73.735849056603769</v>
      </c>
      <c r="J2" s="161">
        <v>145</v>
      </c>
      <c r="K2" s="163">
        <v>146</v>
      </c>
      <c r="L2" s="76">
        <f t="shared" ref="L2:L10" si="0">IF(ISBLANK(K2),"",(J2-K2))</f>
        <v>-1</v>
      </c>
      <c r="M2" s="79" t="s">
        <v>243</v>
      </c>
      <c r="N2" s="39">
        <f>AVERAGE(L:L)</f>
        <v>-1.6111111111111112</v>
      </c>
      <c r="P2" s="79" t="s">
        <v>244</v>
      </c>
      <c r="Q2" s="165">
        <v>15.89</v>
      </c>
      <c r="S2" s="43">
        <v>270</v>
      </c>
      <c r="T2" s="43">
        <v>196</v>
      </c>
      <c r="U2" s="127" t="s">
        <v>244</v>
      </c>
      <c r="V2" s="38">
        <f>AVERAGE(S:S)</f>
        <v>253.92857142857142</v>
      </c>
    </row>
    <row r="3" spans="1:22" s="77" customFormat="1" ht="15.75" thickBot="1">
      <c r="A3" s="331"/>
      <c r="C3" s="79" t="s">
        <v>245</v>
      </c>
      <c r="D3" s="166">
        <v>2.2000000000000002</v>
      </c>
      <c r="F3" s="43">
        <v>79</v>
      </c>
      <c r="G3" s="79" t="s">
        <v>245</v>
      </c>
      <c r="H3" s="38">
        <f>_xlfn.STDEV.S(F:F)</f>
        <v>5.7283067151586593</v>
      </c>
      <c r="J3" s="162">
        <v>153</v>
      </c>
      <c r="K3" s="164">
        <v>151</v>
      </c>
      <c r="L3" s="76">
        <f t="shared" si="0"/>
        <v>2</v>
      </c>
      <c r="M3" s="79" t="s">
        <v>245</v>
      </c>
      <c r="N3" s="39">
        <f>_xlfn.STDEV.S(L:L)</f>
        <v>2.1458273843435527</v>
      </c>
      <c r="P3" s="79" t="s">
        <v>246</v>
      </c>
      <c r="Q3" s="166">
        <v>5.9</v>
      </c>
      <c r="S3" s="43">
        <v>236</v>
      </c>
      <c r="T3" s="43">
        <v>232</v>
      </c>
      <c r="U3" s="127" t="s">
        <v>246</v>
      </c>
      <c r="V3" s="38">
        <f>_xlfn.STDEV.S(S:S)</f>
        <v>47.710491564130855</v>
      </c>
    </row>
    <row r="4" spans="1:22" ht="18.75" thickBot="1">
      <c r="A4" s="331"/>
      <c r="C4" s="118" t="s">
        <v>140</v>
      </c>
      <c r="D4" s="166">
        <v>80</v>
      </c>
      <c r="F4" s="43">
        <v>67</v>
      </c>
      <c r="G4" s="118" t="s">
        <v>140</v>
      </c>
      <c r="H4" s="116">
        <f>COUNT(F:F)</f>
        <v>53</v>
      </c>
      <c r="J4" s="162">
        <v>161</v>
      </c>
      <c r="K4" s="164">
        <v>163</v>
      </c>
      <c r="L4" s="76">
        <f t="shared" si="0"/>
        <v>-2</v>
      </c>
      <c r="M4" s="113" t="s">
        <v>247</v>
      </c>
      <c r="N4" s="116">
        <f>COUNT(J:J)</f>
        <v>18</v>
      </c>
      <c r="P4" s="118" t="s">
        <v>248</v>
      </c>
      <c r="Q4" s="166">
        <v>35</v>
      </c>
      <c r="S4" s="43">
        <v>210</v>
      </c>
      <c r="T4" s="43">
        <v>200</v>
      </c>
      <c r="U4" s="118" t="s">
        <v>248</v>
      </c>
      <c r="V4" s="124">
        <f>COUNT(S:S)</f>
        <v>28</v>
      </c>
    </row>
    <row r="5" spans="1:22" ht="15.75" thickBot="1">
      <c r="A5" s="266" t="s">
        <v>249</v>
      </c>
      <c r="C5" s="113" t="s">
        <v>250</v>
      </c>
      <c r="D5" s="116">
        <f>D4-1</f>
        <v>79</v>
      </c>
      <c r="F5" s="43">
        <v>78</v>
      </c>
      <c r="G5" s="113" t="s">
        <v>250</v>
      </c>
      <c r="H5" s="116">
        <f>H4-1</f>
        <v>52</v>
      </c>
      <c r="J5" s="162">
        <v>151</v>
      </c>
      <c r="K5" s="164">
        <v>152</v>
      </c>
      <c r="L5" s="76">
        <f t="shared" si="0"/>
        <v>-1</v>
      </c>
      <c r="M5" s="113" t="s">
        <v>250</v>
      </c>
      <c r="N5" s="116">
        <f>N4-1</f>
        <v>17</v>
      </c>
      <c r="P5" s="113" t="s">
        <v>251</v>
      </c>
      <c r="Q5" s="116">
        <f>Q4-1</f>
        <v>34</v>
      </c>
      <c r="S5" s="43">
        <v>142</v>
      </c>
      <c r="T5" s="43">
        <v>242</v>
      </c>
      <c r="U5" s="113" t="s">
        <v>251</v>
      </c>
      <c r="V5" s="116">
        <f>V4-1</f>
        <v>27</v>
      </c>
    </row>
    <row r="6" spans="1:22" ht="36" customHeight="1" thickBot="1">
      <c r="A6" s="266"/>
      <c r="C6" s="118" t="s">
        <v>252</v>
      </c>
      <c r="D6" s="39">
        <f>D3/SQRT(D$4)</f>
        <v>0.24596747752497689</v>
      </c>
      <c r="F6" s="43">
        <v>69</v>
      </c>
      <c r="G6" s="118" t="s">
        <v>252</v>
      </c>
      <c r="H6" s="39">
        <f>H3/SQRT(H$4)</f>
        <v>0.78684344086525582</v>
      </c>
      <c r="J6" s="162">
        <v>145</v>
      </c>
      <c r="K6" s="164">
        <v>151</v>
      </c>
      <c r="L6" s="76">
        <f t="shared" si="0"/>
        <v>-6</v>
      </c>
      <c r="M6" s="118" t="s">
        <v>253</v>
      </c>
      <c r="N6" s="39">
        <f>N3/SQRT(N$4)</f>
        <v>0.50577636490837274</v>
      </c>
      <c r="P6" s="113" t="s">
        <v>254</v>
      </c>
      <c r="Q6" s="41">
        <f>Q3/SQRT(Q$4)</f>
        <v>0.99728202057964965</v>
      </c>
      <c r="S6" s="43">
        <v>280</v>
      </c>
      <c r="T6" s="43">
        <v>206</v>
      </c>
      <c r="U6" s="113" t="s">
        <v>254</v>
      </c>
      <c r="V6" s="41">
        <f>V3/SQRT(V$4)</f>
        <v>9.0164354005239495</v>
      </c>
    </row>
    <row r="7" spans="1:22" ht="18.75" thickBot="1">
      <c r="A7" s="336" t="s">
        <v>255</v>
      </c>
      <c r="C7" s="113" t="s">
        <v>256</v>
      </c>
      <c r="D7" s="65">
        <v>0</v>
      </c>
      <c r="F7" s="43">
        <v>66</v>
      </c>
      <c r="G7" s="113" t="s">
        <v>256</v>
      </c>
      <c r="H7" s="65">
        <v>1.8</v>
      </c>
      <c r="J7" s="162">
        <v>150</v>
      </c>
      <c r="K7" s="164">
        <v>151</v>
      </c>
      <c r="L7" s="76">
        <f t="shared" si="0"/>
        <v>-1</v>
      </c>
      <c r="M7" s="118" t="s">
        <v>257</v>
      </c>
      <c r="N7" s="116">
        <v>0</v>
      </c>
      <c r="P7" s="118" t="s">
        <v>258</v>
      </c>
      <c r="Q7" s="165">
        <v>12.31</v>
      </c>
      <c r="S7" s="43">
        <v>272</v>
      </c>
      <c r="T7" s="43">
        <v>178</v>
      </c>
      <c r="U7" s="113" t="s">
        <v>258</v>
      </c>
      <c r="V7" s="38">
        <f>AVERAGE(T:T)</f>
        <v>193.13333333333333</v>
      </c>
    </row>
    <row r="8" spans="1:22" ht="15.75" thickBot="1">
      <c r="A8" s="337"/>
      <c r="C8" s="118" t="s">
        <v>259</v>
      </c>
      <c r="D8" s="39">
        <f>(D2-D7)/D6</f>
        <v>19.514775076361797</v>
      </c>
      <c r="F8" s="43">
        <v>78</v>
      </c>
      <c r="G8" s="118" t="s">
        <v>259</v>
      </c>
      <c r="H8" s="39">
        <f>(H2-H7)/H6</f>
        <v>91.423331911490806</v>
      </c>
      <c r="J8" s="162">
        <v>150</v>
      </c>
      <c r="K8" s="164">
        <v>149</v>
      </c>
      <c r="L8" s="76">
        <f t="shared" si="0"/>
        <v>1</v>
      </c>
      <c r="M8" s="118" t="s">
        <v>259</v>
      </c>
      <c r="N8" s="39">
        <f>(N2-N7)/N6</f>
        <v>-3.1854219036173874</v>
      </c>
      <c r="P8" s="118" t="s">
        <v>260</v>
      </c>
      <c r="Q8" s="166">
        <v>5.48</v>
      </c>
      <c r="S8" s="43">
        <v>160</v>
      </c>
      <c r="T8" s="43">
        <v>184</v>
      </c>
      <c r="U8" s="113" t="s">
        <v>260</v>
      </c>
      <c r="V8" s="38">
        <f>_xlfn.STDEV.S(T:T)</f>
        <v>22.300043812131509</v>
      </c>
    </row>
    <row r="9" spans="1:22" ht="33.75" thickBot="1">
      <c r="A9" s="337"/>
      <c r="C9" s="118" t="s">
        <v>261</v>
      </c>
      <c r="D9" s="158">
        <f>_xlfn.T.DIST(D$8,D$5,TRUE)</f>
        <v>1</v>
      </c>
      <c r="F9" s="43">
        <v>74</v>
      </c>
      <c r="G9" s="118" t="s">
        <v>261</v>
      </c>
      <c r="H9" s="158">
        <f>_xlfn.T.DIST(H$8,H$5,TRUE)</f>
        <v>1</v>
      </c>
      <c r="J9" s="162">
        <v>163</v>
      </c>
      <c r="K9" s="164">
        <v>166</v>
      </c>
      <c r="L9" s="76">
        <f t="shared" si="0"/>
        <v>-3</v>
      </c>
      <c r="M9" s="118" t="s">
        <v>262</v>
      </c>
      <c r="N9" s="158">
        <f>_xlfn.T.DIST(N$8,N$5,TRUE)</f>
        <v>2.7073603357964712E-3</v>
      </c>
      <c r="P9" s="118" t="s">
        <v>263</v>
      </c>
      <c r="Q9" s="166">
        <v>36</v>
      </c>
      <c r="S9" s="43">
        <v>220</v>
      </c>
      <c r="T9" s="43">
        <v>198</v>
      </c>
      <c r="U9" s="118" t="s">
        <v>263</v>
      </c>
      <c r="V9" s="124">
        <f>COUNT(T:T)</f>
        <v>30</v>
      </c>
    </row>
    <row r="10" spans="1:22" ht="33.75" thickBot="1">
      <c r="A10" s="338"/>
      <c r="C10" s="118" t="s">
        <v>264</v>
      </c>
      <c r="D10" s="158">
        <f>_xlfn.T.DIST.2T(ABS(D$8),D$5)</f>
        <v>5.9619657434035004E-32</v>
      </c>
      <c r="F10" s="43">
        <v>71</v>
      </c>
      <c r="G10" s="118" t="s">
        <v>264</v>
      </c>
      <c r="H10" s="158">
        <f>_xlfn.T.DIST.2T(ABS(H$8),H$5)</f>
        <v>4.1137267741987065E-59</v>
      </c>
      <c r="J10" s="162">
        <v>147</v>
      </c>
      <c r="K10" s="164">
        <v>149</v>
      </c>
      <c r="L10" s="76">
        <f t="shared" si="0"/>
        <v>-2</v>
      </c>
      <c r="M10" s="118" t="s">
        <v>265</v>
      </c>
      <c r="N10" s="158">
        <f>_xlfn.T.DIST.2T(ABS(N$8),N$5)</f>
        <v>5.4147206715929423E-3</v>
      </c>
      <c r="P10" s="113" t="s">
        <v>266</v>
      </c>
      <c r="Q10" s="116">
        <f>Q9-1</f>
        <v>35</v>
      </c>
      <c r="S10" s="43">
        <v>226</v>
      </c>
      <c r="T10" s="43">
        <v>160</v>
      </c>
      <c r="U10" s="113" t="s">
        <v>266</v>
      </c>
      <c r="V10" s="116">
        <f>V9-1</f>
        <v>29</v>
      </c>
    </row>
    <row r="11" spans="1:22" ht="33.75" thickBot="1">
      <c r="C11" s="118" t="s">
        <v>267</v>
      </c>
      <c r="D11" s="158">
        <f>1-D9</f>
        <v>0</v>
      </c>
      <c r="F11" s="43">
        <v>74</v>
      </c>
      <c r="G11" s="118" t="s">
        <v>267</v>
      </c>
      <c r="H11" s="158">
        <f>1-H9</f>
        <v>0</v>
      </c>
      <c r="J11" s="162">
        <v>154</v>
      </c>
      <c r="K11" s="164">
        <v>155</v>
      </c>
      <c r="L11" s="76">
        <f t="shared" ref="L11:L74" si="1">IF(ISBLANK(K11),"",(J11-K11))</f>
        <v>-1</v>
      </c>
      <c r="M11" s="118" t="s">
        <v>268</v>
      </c>
      <c r="N11" s="158">
        <f>1-N9</f>
        <v>0.99729263966420356</v>
      </c>
      <c r="P11" s="113" t="s">
        <v>269</v>
      </c>
      <c r="Q11" s="41">
        <f>Q8/SQRT(Q9)</f>
        <v>0.91333333333333344</v>
      </c>
      <c r="S11" s="43">
        <v>242</v>
      </c>
      <c r="T11" s="43">
        <v>182</v>
      </c>
      <c r="U11" s="113" t="s">
        <v>269</v>
      </c>
      <c r="V11" s="41">
        <f>V8/SQRT(V$9)</f>
        <v>4.0714123430859743</v>
      </c>
    </row>
    <row r="12" spans="1:22" ht="63" customHeight="1" thickBot="1">
      <c r="F12" s="43">
        <v>79</v>
      </c>
      <c r="J12" s="162">
        <v>150</v>
      </c>
      <c r="K12" s="164">
        <v>155</v>
      </c>
      <c r="L12" s="76">
        <f t="shared" si="1"/>
        <v>-5</v>
      </c>
      <c r="M12" s="328" t="s">
        <v>270</v>
      </c>
      <c r="N12" s="328"/>
      <c r="P12" s="118" t="s">
        <v>271</v>
      </c>
      <c r="Q12" s="41">
        <f>SQRT(Q6^2 + Q11^2)</f>
        <v>1.3523125401878098</v>
      </c>
      <c r="S12" s="43">
        <v>186</v>
      </c>
      <c r="T12" s="43">
        <v>182</v>
      </c>
      <c r="U12" s="118" t="s">
        <v>271</v>
      </c>
      <c r="V12" s="41">
        <f>SQRT(V6^2 + V11^2)</f>
        <v>9.8930534113212136</v>
      </c>
    </row>
    <row r="13" spans="1:22" ht="30.75" thickBot="1">
      <c r="A13" s="115" t="s">
        <v>20</v>
      </c>
      <c r="C13" s="159" t="s">
        <v>272</v>
      </c>
      <c r="F13" s="43">
        <v>75</v>
      </c>
      <c r="G13" s="159" t="s">
        <v>272</v>
      </c>
      <c r="J13" s="162">
        <v>156</v>
      </c>
      <c r="K13" s="164">
        <v>156</v>
      </c>
      <c r="L13" s="76">
        <f t="shared" si="1"/>
        <v>0</v>
      </c>
      <c r="M13" s="159" t="s">
        <v>272</v>
      </c>
      <c r="P13" s="118" t="s">
        <v>273</v>
      </c>
      <c r="Q13" s="39">
        <f>(Q2-Q7)</f>
        <v>3.58</v>
      </c>
      <c r="S13" s="43">
        <v>266</v>
      </c>
      <c r="T13" s="43">
        <v>198</v>
      </c>
      <c r="U13" s="118" t="s">
        <v>273</v>
      </c>
      <c r="V13" s="39">
        <f>(V2-V7)</f>
        <v>60.795238095238091</v>
      </c>
    </row>
    <row r="14" spans="1:22" ht="33" customHeight="1" thickBot="1">
      <c r="F14" s="43">
        <v>77</v>
      </c>
      <c r="J14" s="162">
        <v>161</v>
      </c>
      <c r="K14" s="164">
        <v>162</v>
      </c>
      <c r="L14" s="76">
        <f t="shared" si="1"/>
        <v>-1</v>
      </c>
      <c r="P14" s="113" t="s">
        <v>274</v>
      </c>
      <c r="Q14" s="41">
        <f>(Q6^2+Q11^2)^2/(Q6^4/Q5+Q11^4/Q10)</f>
        <v>68.286614317923366</v>
      </c>
      <c r="S14" s="43">
        <v>206</v>
      </c>
      <c r="T14" s="43">
        <v>182</v>
      </c>
      <c r="U14" s="113" t="s">
        <v>274</v>
      </c>
      <c r="V14" s="41">
        <f>(V6^2+V11^2)^2/(V6^4/V5+V11^4/V10)</f>
        <v>37.674889002494481</v>
      </c>
    </row>
    <row r="15" spans="1:22" ht="18">
      <c r="F15" s="43">
        <v>71</v>
      </c>
      <c r="J15" s="162">
        <v>152</v>
      </c>
      <c r="K15" s="164">
        <v>150</v>
      </c>
      <c r="L15" s="76">
        <f t="shared" si="1"/>
        <v>2</v>
      </c>
      <c r="P15" s="118" t="s">
        <v>275</v>
      </c>
      <c r="Q15" s="116">
        <v>0</v>
      </c>
      <c r="S15" s="43">
        <v>318</v>
      </c>
      <c r="T15" s="43">
        <v>238</v>
      </c>
      <c r="U15" s="118" t="s">
        <v>275</v>
      </c>
      <c r="V15" s="116">
        <v>0</v>
      </c>
    </row>
    <row r="16" spans="1:22" ht="33" customHeight="1">
      <c r="F16" s="43">
        <v>78</v>
      </c>
      <c r="J16" s="43">
        <v>154</v>
      </c>
      <c r="K16" s="43">
        <v>156</v>
      </c>
      <c r="L16" s="76">
        <f t="shared" si="1"/>
        <v>-2</v>
      </c>
      <c r="P16" s="118" t="s">
        <v>259</v>
      </c>
      <c r="Q16" s="158">
        <f>Q13/Q12</f>
        <v>2.6473170170431222</v>
      </c>
      <c r="S16" s="43">
        <v>294</v>
      </c>
      <c r="T16" s="43">
        <v>198</v>
      </c>
      <c r="U16" s="118" t="s">
        <v>259</v>
      </c>
      <c r="V16" s="158">
        <f>V13/V12</f>
        <v>6.1452451096308103</v>
      </c>
    </row>
    <row r="17" spans="1:22" ht="33" customHeight="1">
      <c r="F17" s="43">
        <v>78</v>
      </c>
      <c r="J17" s="43">
        <v>154</v>
      </c>
      <c r="K17" s="43">
        <v>158</v>
      </c>
      <c r="L17" s="76">
        <f t="shared" si="1"/>
        <v>-4</v>
      </c>
      <c r="P17" s="118" t="s">
        <v>276</v>
      </c>
      <c r="Q17" s="158">
        <f>_xlfn.T.DIST(Q$16,Q$14,TRUE)</f>
        <v>0.99496287018843121</v>
      </c>
      <c r="S17" s="43">
        <v>282</v>
      </c>
      <c r="T17" s="43">
        <v>188</v>
      </c>
      <c r="U17" s="118" t="s">
        <v>276</v>
      </c>
      <c r="V17" s="158">
        <f>_xlfn.T.DIST(V$16,V$14,TRUE)</f>
        <v>0.99999980034938796</v>
      </c>
    </row>
    <row r="18" spans="1:22" ht="33" customHeight="1">
      <c r="F18" s="43">
        <v>68</v>
      </c>
      <c r="J18" s="43">
        <v>147</v>
      </c>
      <c r="K18" s="43">
        <v>149</v>
      </c>
      <c r="L18" s="76">
        <f t="shared" si="1"/>
        <v>-2</v>
      </c>
      <c r="P18" s="118" t="s">
        <v>277</v>
      </c>
      <c r="Q18" s="158">
        <f>_xlfn.T.DIST.2T(ABS(Q$16),Q$14)</f>
        <v>1.007425962313754E-2</v>
      </c>
      <c r="S18" s="43">
        <v>234</v>
      </c>
      <c r="T18" s="43">
        <v>166</v>
      </c>
      <c r="U18" s="118" t="s">
        <v>277</v>
      </c>
      <c r="V18" s="158">
        <f>_xlfn.T.DIST.2T(ABS(V$16),V$14)</f>
        <v>3.9930122409967008E-7</v>
      </c>
    </row>
    <row r="19" spans="1:22" ht="33">
      <c r="F19" s="43">
        <v>78</v>
      </c>
      <c r="J19" s="43">
        <v>160</v>
      </c>
      <c r="K19" s="43">
        <v>163</v>
      </c>
      <c r="L19" s="76">
        <f t="shared" si="1"/>
        <v>-3</v>
      </c>
      <c r="P19" s="118" t="s">
        <v>278</v>
      </c>
      <c r="Q19" s="158">
        <f>1-Q17</f>
        <v>5.0371298115687857E-3</v>
      </c>
      <c r="S19" s="43">
        <v>224</v>
      </c>
      <c r="T19" s="43">
        <v>204</v>
      </c>
      <c r="U19" s="118" t="s">
        <v>278</v>
      </c>
      <c r="V19" s="158">
        <f>1-V17</f>
        <v>1.9965061204274548E-7</v>
      </c>
    </row>
    <row r="20" spans="1:22" s="134" customFormat="1" ht="16.5" customHeight="1">
      <c r="C20" s="327" t="s">
        <v>279</v>
      </c>
      <c r="D20" s="326"/>
      <c r="F20" s="43">
        <v>78</v>
      </c>
      <c r="G20" s="327" t="s">
        <v>280</v>
      </c>
      <c r="H20" s="326"/>
      <c r="J20" s="44"/>
      <c r="K20" s="44"/>
      <c r="L20" s="76" t="str">
        <f t="shared" si="1"/>
        <v/>
      </c>
      <c r="M20" s="327" t="s">
        <v>281</v>
      </c>
      <c r="N20" s="326"/>
      <c r="P20" s="327" t="s">
        <v>281</v>
      </c>
      <c r="Q20" s="326"/>
      <c r="S20" s="43">
        <v>276</v>
      </c>
      <c r="T20" s="43">
        <v>182</v>
      </c>
      <c r="U20" s="327" t="s">
        <v>281</v>
      </c>
      <c r="V20" s="326"/>
    </row>
    <row r="21" spans="1:22" s="134" customFormat="1" ht="33" customHeight="1">
      <c r="C21" s="325" t="s">
        <v>282</v>
      </c>
      <c r="D21" s="326"/>
      <c r="F21" s="43">
        <v>71</v>
      </c>
      <c r="G21" s="325" t="s">
        <v>283</v>
      </c>
      <c r="H21" s="326"/>
      <c r="J21" s="44"/>
      <c r="K21" s="44"/>
      <c r="L21" s="76" t="str">
        <f t="shared" si="1"/>
        <v/>
      </c>
      <c r="M21" s="325" t="s">
        <v>283</v>
      </c>
      <c r="N21" s="326"/>
      <c r="P21" s="325" t="s">
        <v>284</v>
      </c>
      <c r="Q21" s="326"/>
      <c r="S21" s="43">
        <v>282</v>
      </c>
      <c r="T21" s="43">
        <v>178</v>
      </c>
      <c r="U21" s="325" t="s">
        <v>283</v>
      </c>
      <c r="V21" s="326"/>
    </row>
    <row r="22" spans="1:22" ht="45">
      <c r="C22" s="113" t="s">
        <v>222</v>
      </c>
      <c r="D22" s="1">
        <v>0.95</v>
      </c>
      <c r="F22" s="43">
        <v>81</v>
      </c>
      <c r="G22" s="113" t="s">
        <v>222</v>
      </c>
      <c r="H22" s="1">
        <v>0.99</v>
      </c>
      <c r="L22" s="76" t="str">
        <f t="shared" si="1"/>
        <v/>
      </c>
      <c r="M22" s="113" t="s">
        <v>222</v>
      </c>
      <c r="N22" s="1">
        <v>0.95</v>
      </c>
      <c r="P22" s="113" t="s">
        <v>222</v>
      </c>
      <c r="Q22" s="1">
        <v>0.95</v>
      </c>
      <c r="S22" s="43">
        <v>360</v>
      </c>
      <c r="T22" s="43">
        <v>212</v>
      </c>
      <c r="U22" s="113" t="s">
        <v>222</v>
      </c>
      <c r="V22" s="1">
        <v>0.99</v>
      </c>
    </row>
    <row r="23" spans="1:22">
      <c r="C23" s="113" t="s">
        <v>225</v>
      </c>
      <c r="D23" s="38">
        <f>1-D22</f>
        <v>5.0000000000000044E-2</v>
      </c>
      <c r="F23" s="43">
        <v>79</v>
      </c>
      <c r="G23" s="113" t="s">
        <v>225</v>
      </c>
      <c r="H23" s="38">
        <f>1-H22</f>
        <v>1.0000000000000009E-2</v>
      </c>
      <c r="L23" s="76" t="str">
        <f t="shared" si="1"/>
        <v/>
      </c>
      <c r="M23" s="113" t="s">
        <v>225</v>
      </c>
      <c r="N23" s="38">
        <f>1-N22</f>
        <v>5.0000000000000044E-2</v>
      </c>
      <c r="P23" s="113" t="s">
        <v>225</v>
      </c>
      <c r="Q23" s="38">
        <f>1-Q22</f>
        <v>5.0000000000000044E-2</v>
      </c>
      <c r="S23" s="43">
        <v>310</v>
      </c>
      <c r="T23" s="43">
        <v>164</v>
      </c>
      <c r="U23" s="113" t="s">
        <v>225</v>
      </c>
      <c r="V23" s="38">
        <f>1-V22</f>
        <v>1.0000000000000009E-2</v>
      </c>
    </row>
    <row r="24" spans="1:22">
      <c r="C24" s="153" t="s">
        <v>226</v>
      </c>
      <c r="D24" s="38">
        <f>D23/2</f>
        <v>2.5000000000000022E-2</v>
      </c>
      <c r="F24" s="43">
        <v>80</v>
      </c>
      <c r="G24" s="153" t="s">
        <v>226</v>
      </c>
      <c r="H24" s="38">
        <f>H23/2</f>
        <v>5.0000000000000044E-3</v>
      </c>
      <c r="L24" s="76" t="str">
        <f t="shared" si="1"/>
        <v/>
      </c>
      <c r="M24" s="153" t="s">
        <v>226</v>
      </c>
      <c r="N24" s="38">
        <f>N23/2</f>
        <v>2.5000000000000022E-2</v>
      </c>
      <c r="P24" s="153" t="s">
        <v>226</v>
      </c>
      <c r="Q24" s="38">
        <f>Q23/2</f>
        <v>2.5000000000000022E-2</v>
      </c>
      <c r="S24" s="43">
        <v>280</v>
      </c>
      <c r="T24" s="43">
        <v>230</v>
      </c>
      <c r="U24" s="153" t="s">
        <v>226</v>
      </c>
      <c r="V24" s="38">
        <f>V23/2</f>
        <v>5.0000000000000044E-3</v>
      </c>
    </row>
    <row r="25" spans="1:22" s="137" customFormat="1" ht="18">
      <c r="A25" s="135"/>
      <c r="C25" s="136" t="s">
        <v>285</v>
      </c>
      <c r="D25" s="41">
        <f>ABS(_xlfn.T.INV(D24,D5))</f>
        <v>1.9904502102301287</v>
      </c>
      <c r="F25" s="45">
        <v>80</v>
      </c>
      <c r="G25" s="136" t="s">
        <v>285</v>
      </c>
      <c r="H25" s="41">
        <f>ABS(_xlfn.T.INV(H24,H5))</f>
        <v>2.6737336306472184</v>
      </c>
      <c r="J25" s="43"/>
      <c r="K25" s="43"/>
      <c r="L25" s="76" t="str">
        <f t="shared" si="1"/>
        <v/>
      </c>
      <c r="M25" s="136" t="s">
        <v>285</v>
      </c>
      <c r="N25" s="41">
        <f>ABS(_xlfn.T.INV(N24,N5))</f>
        <v>2.109815577833317</v>
      </c>
      <c r="P25" s="136" t="s">
        <v>285</v>
      </c>
      <c r="Q25" s="41">
        <f>ABS(_xlfn.T.INV(Q24,Q14))</f>
        <v>1.9954689314298424</v>
      </c>
      <c r="S25" s="43">
        <v>278</v>
      </c>
      <c r="T25" s="43">
        <v>186</v>
      </c>
      <c r="U25" s="136" t="s">
        <v>285</v>
      </c>
      <c r="V25" s="41">
        <f>ABS(_xlfn.T.INV(V24,V14))</f>
        <v>2.7154087215499874</v>
      </c>
    </row>
    <row r="26" spans="1:22" s="137" customFormat="1">
      <c r="A26" s="135"/>
      <c r="C26" s="160" t="s">
        <v>228</v>
      </c>
      <c r="D26" s="39">
        <f>D$25*D$6</f>
        <v>0.48958601734936469</v>
      </c>
      <c r="F26" s="45">
        <v>62</v>
      </c>
      <c r="G26" s="160" t="s">
        <v>228</v>
      </c>
      <c r="H26" s="39">
        <f>H$25*H$6</f>
        <v>2.1038097698956104</v>
      </c>
      <c r="J26" s="43"/>
      <c r="K26" s="43"/>
      <c r="L26" s="76" t="str">
        <f t="shared" si="1"/>
        <v/>
      </c>
      <c r="M26" s="160" t="s">
        <v>228</v>
      </c>
      <c r="N26" s="39">
        <f>N$25*N$6</f>
        <v>1.0670948535835931</v>
      </c>
      <c r="P26" s="160" t="s">
        <v>228</v>
      </c>
      <c r="Q26" s="158">
        <f>Q$25*Q12</f>
        <v>2.6984976595277446</v>
      </c>
      <c r="S26" s="43">
        <v>288</v>
      </c>
      <c r="T26" s="43">
        <v>162</v>
      </c>
      <c r="U26" s="160" t="s">
        <v>228</v>
      </c>
      <c r="V26" s="158">
        <f>V$25*V12</f>
        <v>26.863683515861478</v>
      </c>
    </row>
    <row r="27" spans="1:22" s="137" customFormat="1">
      <c r="A27" s="135"/>
      <c r="C27" s="160" t="s">
        <v>109</v>
      </c>
      <c r="D27" s="158">
        <f>D$2-D26</f>
        <v>4.3104139826506351</v>
      </c>
      <c r="F27" s="45">
        <v>65</v>
      </c>
      <c r="G27" s="160" t="s">
        <v>109</v>
      </c>
      <c r="H27" s="158">
        <f>H$2-H26</f>
        <v>71.632039286708164</v>
      </c>
      <c r="J27" s="43"/>
      <c r="K27" s="43"/>
      <c r="L27" s="76" t="str">
        <f t="shared" si="1"/>
        <v/>
      </c>
      <c r="M27" s="160" t="s">
        <v>109</v>
      </c>
      <c r="N27" s="158">
        <f>N$2-N26</f>
        <v>-2.6782059646947043</v>
      </c>
      <c r="P27" s="160" t="s">
        <v>109</v>
      </c>
      <c r="Q27" s="158">
        <f>Q$13-Q26</f>
        <v>0.88150234047225551</v>
      </c>
      <c r="S27" s="43">
        <v>288</v>
      </c>
      <c r="T27" s="43">
        <v>182</v>
      </c>
      <c r="U27" s="160" t="s">
        <v>109</v>
      </c>
      <c r="V27" s="158">
        <f>V$13-V26</f>
        <v>33.931554579376609</v>
      </c>
    </row>
    <row r="28" spans="1:22" s="137" customFormat="1">
      <c r="A28" s="135"/>
      <c r="C28" s="160" t="s">
        <v>45</v>
      </c>
      <c r="D28" s="158">
        <f>D$2+D26</f>
        <v>5.2895860173493645</v>
      </c>
      <c r="F28" s="45">
        <v>69</v>
      </c>
      <c r="G28" s="160" t="s">
        <v>45</v>
      </c>
      <c r="H28" s="158">
        <f>H$2+H26</f>
        <v>75.839658826499374</v>
      </c>
      <c r="J28" s="43"/>
      <c r="K28" s="43"/>
      <c r="L28" s="76" t="str">
        <f t="shared" si="1"/>
        <v/>
      </c>
      <c r="M28" s="160" t="s">
        <v>45</v>
      </c>
      <c r="N28" s="158">
        <f>N$2+N26</f>
        <v>-0.54401625752751803</v>
      </c>
      <c r="P28" s="160" t="s">
        <v>45</v>
      </c>
      <c r="Q28" s="158">
        <f>Q$13+Q26</f>
        <v>6.2784976595277442</v>
      </c>
      <c r="S28" s="43">
        <v>244</v>
      </c>
      <c r="T28" s="43">
        <v>218</v>
      </c>
      <c r="U28" s="160" t="s">
        <v>45</v>
      </c>
      <c r="V28" s="158">
        <f>V$13+V26</f>
        <v>87.658921611099572</v>
      </c>
    </row>
    <row r="29" spans="1:22">
      <c r="F29" s="43">
        <v>68</v>
      </c>
      <c r="L29" s="76" t="str">
        <f t="shared" si="1"/>
        <v/>
      </c>
      <c r="S29" s="43">
        <v>236</v>
      </c>
      <c r="T29" s="43">
        <v>170</v>
      </c>
    </row>
    <row r="30" spans="1:22">
      <c r="F30" s="43">
        <v>79</v>
      </c>
      <c r="L30" s="76" t="str">
        <f t="shared" si="1"/>
        <v/>
      </c>
      <c r="T30" s="43">
        <v>200</v>
      </c>
    </row>
    <row r="31" spans="1:22">
      <c r="F31" s="43">
        <v>79</v>
      </c>
      <c r="L31" s="76" t="str">
        <f t="shared" si="1"/>
        <v/>
      </c>
      <c r="T31" s="43">
        <v>176</v>
      </c>
    </row>
    <row r="32" spans="1:22">
      <c r="F32" s="43">
        <v>79</v>
      </c>
      <c r="L32" s="76" t="str">
        <f t="shared" si="1"/>
        <v/>
      </c>
    </row>
    <row r="33" spans="6:12">
      <c r="F33" s="43">
        <v>73</v>
      </c>
      <c r="L33" s="76" t="str">
        <f t="shared" si="1"/>
        <v/>
      </c>
    </row>
    <row r="34" spans="6:12">
      <c r="F34" s="43">
        <v>79</v>
      </c>
      <c r="L34" s="76" t="str">
        <f t="shared" si="1"/>
        <v/>
      </c>
    </row>
    <row r="35" spans="6:12">
      <c r="F35" s="43">
        <v>79</v>
      </c>
      <c r="L35" s="76" t="str">
        <f t="shared" si="1"/>
        <v/>
      </c>
    </row>
    <row r="36" spans="6:12">
      <c r="F36" s="43">
        <v>72</v>
      </c>
      <c r="L36" s="76" t="str">
        <f t="shared" si="1"/>
        <v/>
      </c>
    </row>
    <row r="37" spans="6:12">
      <c r="F37" s="43">
        <v>77</v>
      </c>
      <c r="L37" s="76" t="str">
        <f t="shared" si="1"/>
        <v/>
      </c>
    </row>
    <row r="38" spans="6:12">
      <c r="F38" s="43">
        <v>67</v>
      </c>
      <c r="L38" s="76" t="str">
        <f t="shared" si="1"/>
        <v/>
      </c>
    </row>
    <row r="39" spans="6:12">
      <c r="F39" s="43">
        <v>70</v>
      </c>
      <c r="L39" s="76" t="str">
        <f t="shared" si="1"/>
        <v/>
      </c>
    </row>
    <row r="40" spans="6:12">
      <c r="F40" s="43">
        <v>63</v>
      </c>
      <c r="L40" s="76" t="str">
        <f t="shared" si="1"/>
        <v/>
      </c>
    </row>
    <row r="41" spans="6:12">
      <c r="F41" s="43">
        <v>82</v>
      </c>
      <c r="L41" s="76" t="str">
        <f t="shared" si="1"/>
        <v/>
      </c>
    </row>
    <row r="42" spans="6:12">
      <c r="F42" s="43">
        <v>72</v>
      </c>
      <c r="L42" s="76" t="str">
        <f t="shared" si="1"/>
        <v/>
      </c>
    </row>
    <row r="43" spans="6:12">
      <c r="F43" s="43">
        <v>72</v>
      </c>
      <c r="L43" s="76" t="str">
        <f t="shared" si="1"/>
        <v/>
      </c>
    </row>
    <row r="44" spans="6:12">
      <c r="F44" s="43">
        <v>77</v>
      </c>
      <c r="L44" s="76" t="str">
        <f t="shared" si="1"/>
        <v/>
      </c>
    </row>
    <row r="45" spans="6:12">
      <c r="F45" s="43">
        <v>79</v>
      </c>
      <c r="L45" s="76" t="str">
        <f t="shared" si="1"/>
        <v/>
      </c>
    </row>
    <row r="46" spans="6:12">
      <c r="F46" s="43">
        <v>80</v>
      </c>
      <c r="L46" s="76" t="str">
        <f t="shared" si="1"/>
        <v/>
      </c>
    </row>
    <row r="47" spans="6:12">
      <c r="F47" s="43">
        <v>80</v>
      </c>
      <c r="L47" s="76" t="str">
        <f t="shared" si="1"/>
        <v/>
      </c>
    </row>
    <row r="48" spans="6:12">
      <c r="F48" s="43">
        <v>67</v>
      </c>
      <c r="L48" s="76" t="str">
        <f t="shared" si="1"/>
        <v/>
      </c>
    </row>
    <row r="49" spans="6:12">
      <c r="F49" s="43">
        <v>73</v>
      </c>
      <c r="L49" s="76" t="str">
        <f t="shared" si="1"/>
        <v/>
      </c>
    </row>
    <row r="50" spans="6:12">
      <c r="F50" s="43">
        <v>73</v>
      </c>
      <c r="L50" s="76" t="str">
        <f t="shared" si="1"/>
        <v/>
      </c>
    </row>
    <row r="51" spans="6:12">
      <c r="F51" s="43">
        <v>60</v>
      </c>
      <c r="L51" s="76" t="str">
        <f t="shared" si="1"/>
        <v/>
      </c>
    </row>
    <row r="52" spans="6:12">
      <c r="F52" s="43">
        <v>65</v>
      </c>
      <c r="L52" s="76" t="str">
        <f t="shared" si="1"/>
        <v/>
      </c>
    </row>
    <row r="53" spans="6:12">
      <c r="F53" s="43">
        <v>79</v>
      </c>
      <c r="L53" s="76" t="str">
        <f t="shared" si="1"/>
        <v/>
      </c>
    </row>
    <row r="54" spans="6:12">
      <c r="F54" s="43">
        <v>66</v>
      </c>
      <c r="L54" s="76" t="str">
        <f t="shared" si="1"/>
        <v/>
      </c>
    </row>
    <row r="55" spans="6:12">
      <c r="L55" s="76" t="str">
        <f t="shared" si="1"/>
        <v/>
      </c>
    </row>
    <row r="56" spans="6:12">
      <c r="L56" s="76" t="str">
        <f t="shared" si="1"/>
        <v/>
      </c>
    </row>
    <row r="57" spans="6:12">
      <c r="L57" s="76" t="str">
        <f t="shared" si="1"/>
        <v/>
      </c>
    </row>
    <row r="58" spans="6:12">
      <c r="L58" s="76" t="str">
        <f t="shared" si="1"/>
        <v/>
      </c>
    </row>
    <row r="59" spans="6:12">
      <c r="L59" s="76" t="str">
        <f t="shared" si="1"/>
        <v/>
      </c>
    </row>
    <row r="60" spans="6:12">
      <c r="L60" s="76" t="str">
        <f t="shared" si="1"/>
        <v/>
      </c>
    </row>
    <row r="61" spans="6:12">
      <c r="L61" s="76" t="str">
        <f t="shared" si="1"/>
        <v/>
      </c>
    </row>
    <row r="62" spans="6:12">
      <c r="L62" s="76" t="str">
        <f t="shared" si="1"/>
        <v/>
      </c>
    </row>
    <row r="63" spans="6:12">
      <c r="L63" s="76" t="str">
        <f t="shared" si="1"/>
        <v/>
      </c>
    </row>
    <row r="64" spans="6:12">
      <c r="L64" s="76" t="str">
        <f t="shared" si="1"/>
        <v/>
      </c>
    </row>
    <row r="65" spans="12:12">
      <c r="L65" s="76" t="str">
        <f t="shared" si="1"/>
        <v/>
      </c>
    </row>
    <row r="66" spans="12:12">
      <c r="L66" s="76" t="str">
        <f t="shared" si="1"/>
        <v/>
      </c>
    </row>
    <row r="67" spans="12:12">
      <c r="L67" s="76" t="str">
        <f t="shared" si="1"/>
        <v/>
      </c>
    </row>
    <row r="68" spans="12:12">
      <c r="L68" s="76" t="str">
        <f t="shared" si="1"/>
        <v/>
      </c>
    </row>
    <row r="69" spans="12:12">
      <c r="L69" s="76" t="str">
        <f t="shared" si="1"/>
        <v/>
      </c>
    </row>
    <row r="70" spans="12:12">
      <c r="L70" s="76" t="str">
        <f t="shared" si="1"/>
        <v/>
      </c>
    </row>
    <row r="71" spans="12:12">
      <c r="L71" s="76" t="str">
        <f t="shared" si="1"/>
        <v/>
      </c>
    </row>
    <row r="72" spans="12:12">
      <c r="L72" s="76" t="str">
        <f t="shared" si="1"/>
        <v/>
      </c>
    </row>
    <row r="73" spans="12:12">
      <c r="L73" s="76" t="str">
        <f t="shared" si="1"/>
        <v/>
      </c>
    </row>
    <row r="74" spans="12:12">
      <c r="L74" s="76" t="str">
        <f t="shared" si="1"/>
        <v/>
      </c>
    </row>
    <row r="75" spans="12:12">
      <c r="L75" s="76" t="str">
        <f t="shared" ref="L75:L100" si="2">IF(ISBLANK(K75),"",(J75-K75))</f>
        <v/>
      </c>
    </row>
    <row r="76" spans="12:12">
      <c r="L76" s="76" t="str">
        <f t="shared" si="2"/>
        <v/>
      </c>
    </row>
    <row r="77" spans="12:12">
      <c r="L77" s="76" t="str">
        <f t="shared" si="2"/>
        <v/>
      </c>
    </row>
    <row r="78" spans="12:12">
      <c r="L78" s="76" t="str">
        <f t="shared" si="2"/>
        <v/>
      </c>
    </row>
    <row r="79" spans="12:12">
      <c r="L79" s="76" t="str">
        <f t="shared" si="2"/>
        <v/>
      </c>
    </row>
    <row r="80" spans="12:12">
      <c r="L80" s="76" t="str">
        <f t="shared" si="2"/>
        <v/>
      </c>
    </row>
    <row r="81" spans="12:12">
      <c r="L81" s="76" t="str">
        <f t="shared" si="2"/>
        <v/>
      </c>
    </row>
    <row r="82" spans="12:12">
      <c r="L82" s="76" t="str">
        <f t="shared" si="2"/>
        <v/>
      </c>
    </row>
    <row r="83" spans="12:12">
      <c r="L83" s="76" t="str">
        <f t="shared" si="2"/>
        <v/>
      </c>
    </row>
    <row r="84" spans="12:12">
      <c r="L84" s="76" t="str">
        <f t="shared" si="2"/>
        <v/>
      </c>
    </row>
    <row r="85" spans="12:12">
      <c r="L85" s="76" t="str">
        <f t="shared" si="2"/>
        <v/>
      </c>
    </row>
    <row r="86" spans="12:12">
      <c r="L86" s="76" t="str">
        <f t="shared" si="2"/>
        <v/>
      </c>
    </row>
    <row r="87" spans="12:12">
      <c r="L87" s="76" t="str">
        <f t="shared" si="2"/>
        <v/>
      </c>
    </row>
    <row r="88" spans="12:12">
      <c r="L88" s="76" t="str">
        <f t="shared" si="2"/>
        <v/>
      </c>
    </row>
    <row r="89" spans="12:12">
      <c r="L89" s="76" t="str">
        <f t="shared" si="2"/>
        <v/>
      </c>
    </row>
    <row r="90" spans="12:12">
      <c r="L90" s="76" t="str">
        <f t="shared" si="2"/>
        <v/>
      </c>
    </row>
    <row r="91" spans="12:12">
      <c r="L91" s="76" t="str">
        <f t="shared" si="2"/>
        <v/>
      </c>
    </row>
    <row r="92" spans="12:12">
      <c r="L92" s="76" t="str">
        <f t="shared" si="2"/>
        <v/>
      </c>
    </row>
    <row r="93" spans="12:12">
      <c r="L93" s="76" t="str">
        <f t="shared" si="2"/>
        <v/>
      </c>
    </row>
    <row r="94" spans="12:12">
      <c r="L94" s="76" t="str">
        <f t="shared" si="2"/>
        <v/>
      </c>
    </row>
    <row r="95" spans="12:12">
      <c r="L95" s="76" t="str">
        <f t="shared" si="2"/>
        <v/>
      </c>
    </row>
    <row r="96" spans="12:12">
      <c r="L96" s="76" t="str">
        <f t="shared" si="2"/>
        <v/>
      </c>
    </row>
    <row r="97" spans="12:12">
      <c r="L97" s="76" t="str">
        <f t="shared" si="2"/>
        <v/>
      </c>
    </row>
    <row r="98" spans="12:12">
      <c r="L98" s="76" t="str">
        <f t="shared" si="2"/>
        <v/>
      </c>
    </row>
    <row r="99" spans="12:12">
      <c r="L99" s="76" t="str">
        <f t="shared" si="2"/>
        <v/>
      </c>
    </row>
    <row r="100" spans="12:12">
      <c r="L100" s="76" t="str">
        <f t="shared" si="2"/>
        <v/>
      </c>
    </row>
  </sheetData>
  <sheetProtection sheet="1" objects="1" scenarios="1" selectLockedCells="1"/>
  <mergeCells count="19">
    <mergeCell ref="M12:N12"/>
    <mergeCell ref="U1:V1"/>
    <mergeCell ref="A5:A6"/>
    <mergeCell ref="A2:A4"/>
    <mergeCell ref="C1:D1"/>
    <mergeCell ref="G1:H1"/>
    <mergeCell ref="M1:N1"/>
    <mergeCell ref="P1:Q1"/>
    <mergeCell ref="A7:A10"/>
    <mergeCell ref="U20:V20"/>
    <mergeCell ref="C20:D20"/>
    <mergeCell ref="G20:H20"/>
    <mergeCell ref="M20:N20"/>
    <mergeCell ref="P20:Q20"/>
    <mergeCell ref="C21:D21"/>
    <mergeCell ref="G21:H21"/>
    <mergeCell ref="M21:N21"/>
    <mergeCell ref="P21:Q21"/>
    <mergeCell ref="U21:V21"/>
  </mergeCells>
  <pageMargins left="0.7" right="0.7" top="0.75" bottom="0.75" header="0.3" footer="0.3"/>
  <pageSetup scale="95" orientation="portrait" horizontalDpi="4294967295" verticalDpi="4294967295" r:id="rId1"/>
  <colBreaks count="1" manualBreakCount="1">
    <brk id="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01"/>
  <sheetViews>
    <sheetView zoomScale="110" zoomScaleNormal="110" workbookViewId="0">
      <selection activeCell="D11" sqref="D11"/>
    </sheetView>
  </sheetViews>
  <sheetFormatPr defaultColWidth="9.140625" defaultRowHeight="15"/>
  <cols>
    <col min="1" max="1" width="17.7109375" style="112" customWidth="1"/>
    <col min="2" max="2" width="1.7109375" style="115" customWidth="1"/>
    <col min="3" max="3" width="6" style="43" bestFit="1" customWidth="1"/>
    <col min="4" max="4" width="8.5703125" style="43" bestFit="1" customWidth="1"/>
    <col min="5" max="5" width="10.5703125" style="116" bestFit="1" customWidth="1"/>
    <col min="6" max="6" width="12.28515625" style="116" bestFit="1" customWidth="1"/>
    <col min="7" max="7" width="19.7109375" style="113" bestFit="1" customWidth="1"/>
    <col min="8" max="8" width="11.5703125" style="115" customWidth="1"/>
    <col min="9" max="9" width="1.7109375" style="115" customWidth="1"/>
    <col min="10" max="10" width="51.5703125" style="115" customWidth="1"/>
    <col min="11" max="12" width="4.7109375" style="183" customWidth="1"/>
    <col min="13" max="16" width="7.7109375" style="5" bestFit="1" customWidth="1"/>
    <col min="17" max="16384" width="9.140625" style="115"/>
  </cols>
  <sheetData>
    <row r="1" spans="1:17" s="122" customFormat="1" ht="30">
      <c r="A1" s="129"/>
      <c r="C1" s="119" t="s">
        <v>114</v>
      </c>
      <c r="D1" s="119" t="s">
        <v>286</v>
      </c>
      <c r="E1" s="78" t="s">
        <v>287</v>
      </c>
      <c r="F1" s="78" t="s">
        <v>288</v>
      </c>
      <c r="G1" s="167" t="s">
        <v>289</v>
      </c>
      <c r="H1" s="167"/>
      <c r="K1" s="168" t="s">
        <v>3</v>
      </c>
      <c r="L1" s="168" t="s">
        <v>290</v>
      </c>
      <c r="M1" s="169" t="s">
        <v>291</v>
      </c>
      <c r="N1" s="169" t="s">
        <v>292</v>
      </c>
      <c r="O1" s="169" t="s">
        <v>293</v>
      </c>
      <c r="P1" s="169" t="s">
        <v>294</v>
      </c>
    </row>
    <row r="2" spans="1:17" s="77" customFormat="1">
      <c r="A2" s="266" t="s">
        <v>0</v>
      </c>
      <c r="C2" s="43">
        <v>4.7</v>
      </c>
      <c r="D2" s="43">
        <v>163</v>
      </c>
      <c r="E2" s="145">
        <f t="shared" ref="E2:E8" si="0">IF(ISBLANK(D2),"",(H$9*C2+H$10))</f>
        <v>148.72869254796967</v>
      </c>
      <c r="F2" s="41">
        <f t="shared" ref="F2:F9" si="1">IF(ISBLANK(D2),"",(D2-E2))</f>
        <v>14.271307452030328</v>
      </c>
      <c r="G2" s="79" t="s">
        <v>3</v>
      </c>
      <c r="H2" s="35">
        <f>COUNT(C:C)</f>
        <v>9</v>
      </c>
      <c r="K2" s="170">
        <f>L2+2</f>
        <v>3</v>
      </c>
      <c r="L2" s="171">
        <v>1</v>
      </c>
      <c r="M2" s="172">
        <v>0.98799999999999999</v>
      </c>
      <c r="N2" s="172">
        <v>0.997</v>
      </c>
      <c r="O2" s="172">
        <v>0.99950000000000006</v>
      </c>
      <c r="P2" s="172">
        <v>0.99990000000000001</v>
      </c>
    </row>
    <row r="3" spans="1:17" s="77" customFormat="1">
      <c r="A3" s="266"/>
      <c r="C3" s="43">
        <v>6.7</v>
      </c>
      <c r="D3" s="43">
        <v>215</v>
      </c>
      <c r="E3" s="145">
        <f t="shared" si="0"/>
        <v>201.36590807675145</v>
      </c>
      <c r="F3" s="41">
        <f t="shared" si="1"/>
        <v>13.634091923248548</v>
      </c>
      <c r="G3" s="127" t="s">
        <v>295</v>
      </c>
      <c r="H3" s="36">
        <f>H2-2</f>
        <v>7</v>
      </c>
      <c r="K3" s="170">
        <f t="shared" ref="K3:K40" si="2">L3+2</f>
        <v>4</v>
      </c>
      <c r="L3" s="173">
        <v>2</v>
      </c>
      <c r="M3" s="172">
        <v>0.9</v>
      </c>
      <c r="N3" s="172">
        <v>0.95</v>
      </c>
      <c r="O3" s="172">
        <v>0.98</v>
      </c>
      <c r="P3" s="172">
        <v>0.99</v>
      </c>
    </row>
    <row r="4" spans="1:17">
      <c r="A4" s="336" t="s">
        <v>255</v>
      </c>
      <c r="C4" s="43">
        <v>8.1</v>
      </c>
      <c r="D4" s="43">
        <v>222</v>
      </c>
      <c r="E4" s="145">
        <f t="shared" si="0"/>
        <v>238.2119589468987</v>
      </c>
      <c r="F4" s="41">
        <f t="shared" si="1"/>
        <v>-16.211958946898704</v>
      </c>
      <c r="G4" s="79" t="s">
        <v>296</v>
      </c>
      <c r="H4" s="37">
        <f>AVERAGE(C:C)</f>
        <v>5.5166666666666675</v>
      </c>
      <c r="K4" s="170">
        <f t="shared" si="2"/>
        <v>5</v>
      </c>
      <c r="L4" s="173">
        <v>3</v>
      </c>
      <c r="M4" s="172">
        <v>0.80500000000000005</v>
      </c>
      <c r="N4" s="172">
        <v>0.878</v>
      </c>
      <c r="O4" s="172">
        <v>0.93400000000000005</v>
      </c>
      <c r="P4" s="172">
        <v>0.95899999999999996</v>
      </c>
    </row>
    <row r="5" spans="1:17">
      <c r="A5" s="337"/>
      <c r="C5" s="43">
        <v>4.1500000000000004</v>
      </c>
      <c r="D5" s="43">
        <v>104</v>
      </c>
      <c r="E5" s="145">
        <f t="shared" si="0"/>
        <v>134.25345827755467</v>
      </c>
      <c r="F5" s="41">
        <f t="shared" si="1"/>
        <v>-30.253458277554671</v>
      </c>
      <c r="G5" s="127" t="s">
        <v>297</v>
      </c>
      <c r="H5" s="38">
        <f>_xlfn.STDEV.S(C:C)</f>
        <v>1.2474974949874644</v>
      </c>
      <c r="K5" s="170">
        <f t="shared" si="2"/>
        <v>6</v>
      </c>
      <c r="L5" s="173">
        <v>4</v>
      </c>
      <c r="M5" s="172">
        <v>0.72899999999999998</v>
      </c>
      <c r="N5" s="172">
        <v>0.81100000000000005</v>
      </c>
      <c r="O5" s="172">
        <v>0.88200000000000001</v>
      </c>
      <c r="P5" s="172">
        <v>0.91700000000000004</v>
      </c>
    </row>
    <row r="6" spans="1:17">
      <c r="A6" s="337"/>
      <c r="C6" s="43">
        <v>5.0999999999999996</v>
      </c>
      <c r="D6" s="43">
        <v>162</v>
      </c>
      <c r="E6" s="145">
        <f t="shared" si="0"/>
        <v>159.25613565372601</v>
      </c>
      <c r="F6" s="41">
        <f t="shared" si="1"/>
        <v>2.7438643462739947</v>
      </c>
      <c r="G6" s="79" t="s">
        <v>298</v>
      </c>
      <c r="H6" s="37">
        <f>AVERAGE(D:D)</f>
        <v>170.22222222222223</v>
      </c>
      <c r="K6" s="170">
        <f t="shared" si="2"/>
        <v>7</v>
      </c>
      <c r="L6" s="173">
        <v>5</v>
      </c>
      <c r="M6" s="172">
        <v>0.66900000000000004</v>
      </c>
      <c r="N6" s="172">
        <v>0.754</v>
      </c>
      <c r="O6" s="172">
        <v>0.83299999999999996</v>
      </c>
      <c r="P6" s="172">
        <v>0.874</v>
      </c>
    </row>
    <row r="7" spans="1:17">
      <c r="A7" s="337"/>
      <c r="C7" s="43">
        <v>5</v>
      </c>
      <c r="D7" s="43">
        <v>158</v>
      </c>
      <c r="E7" s="145">
        <f t="shared" si="0"/>
        <v>156.62427487728692</v>
      </c>
      <c r="F7" s="41">
        <f t="shared" si="1"/>
        <v>1.375725122713078</v>
      </c>
      <c r="G7" s="127" t="s">
        <v>299</v>
      </c>
      <c r="H7" s="38">
        <f>_xlfn.STDEV.S(D:D)</f>
        <v>35.94362870446507</v>
      </c>
      <c r="K7" s="170">
        <f t="shared" si="2"/>
        <v>8</v>
      </c>
      <c r="L7" s="173">
        <v>6</v>
      </c>
      <c r="M7" s="172">
        <v>0.622</v>
      </c>
      <c r="N7" s="172">
        <v>0.70699999999999996</v>
      </c>
      <c r="O7" s="172">
        <v>0.78900000000000003</v>
      </c>
      <c r="P7" s="172">
        <v>0.83399999999999996</v>
      </c>
      <c r="Q7" s="174"/>
    </row>
    <row r="8" spans="1:17">
      <c r="A8" s="345"/>
      <c r="C8" s="43">
        <v>5</v>
      </c>
      <c r="D8" s="43">
        <v>155</v>
      </c>
      <c r="E8" s="145">
        <f t="shared" si="0"/>
        <v>156.62427487728692</v>
      </c>
      <c r="F8" s="41">
        <f t="shared" si="1"/>
        <v>-1.624274877286922</v>
      </c>
      <c r="G8" s="339" t="s">
        <v>300</v>
      </c>
      <c r="H8" s="340"/>
      <c r="K8" s="170">
        <f t="shared" si="2"/>
        <v>9</v>
      </c>
      <c r="L8" s="173">
        <v>7</v>
      </c>
      <c r="M8" s="172">
        <v>0.58199999999999996</v>
      </c>
      <c r="N8" s="172">
        <v>0.66600000000000004</v>
      </c>
      <c r="O8" s="172">
        <v>0.75</v>
      </c>
      <c r="P8" s="172">
        <v>0.79800000000000004</v>
      </c>
    </row>
    <row r="9" spans="1:17">
      <c r="C9" s="43">
        <v>4.7</v>
      </c>
      <c r="D9" s="43">
        <v>158</v>
      </c>
      <c r="E9" s="145">
        <f t="shared" ref="E9:E72" si="3">IF(ISBLANK(D9),"",(H$9*C9+H$10))</f>
        <v>148.72869254796967</v>
      </c>
      <c r="F9" s="41">
        <f t="shared" si="1"/>
        <v>9.271307452030328</v>
      </c>
      <c r="G9" s="118" t="s">
        <v>301</v>
      </c>
      <c r="H9" s="75">
        <f>SLOPE(D:D,C:C)</f>
        <v>26.318607764390901</v>
      </c>
      <c r="K9" s="170">
        <f t="shared" si="2"/>
        <v>10</v>
      </c>
      <c r="L9" s="173">
        <v>8</v>
      </c>
      <c r="M9" s="172">
        <v>0.54900000000000004</v>
      </c>
      <c r="N9" s="172">
        <v>0.63200000000000001</v>
      </c>
      <c r="O9" s="172">
        <v>0.71599999999999997</v>
      </c>
      <c r="P9" s="172">
        <v>0.76500000000000001</v>
      </c>
    </row>
    <row r="10" spans="1:17">
      <c r="A10" s="115" t="s">
        <v>20</v>
      </c>
      <c r="C10" s="43">
        <v>6.2</v>
      </c>
      <c r="D10" s="43">
        <v>195</v>
      </c>
      <c r="E10" s="145">
        <f t="shared" si="3"/>
        <v>188.20660419455601</v>
      </c>
      <c r="F10" s="41">
        <f t="shared" ref="F10:F73" si="4">IF(ISBLANK(D10),"",(D10-E10))</f>
        <v>6.7933958054439927</v>
      </c>
      <c r="G10" s="118" t="s">
        <v>302</v>
      </c>
      <c r="H10" s="75">
        <f>INTERCEPT(D:D,C:C)</f>
        <v>25.031236055332414</v>
      </c>
      <c r="K10" s="170">
        <f t="shared" si="2"/>
        <v>11</v>
      </c>
      <c r="L10" s="173">
        <v>9</v>
      </c>
      <c r="M10" s="172">
        <v>0.52100000000000002</v>
      </c>
      <c r="N10" s="172">
        <v>0.60199999999999998</v>
      </c>
      <c r="O10" s="172">
        <v>0.68500000000000005</v>
      </c>
      <c r="P10" s="172">
        <v>0.73499999999999999</v>
      </c>
    </row>
    <row r="11" spans="1:17" ht="30">
      <c r="E11" s="145" t="str">
        <f t="shared" si="3"/>
        <v/>
      </c>
      <c r="F11" s="41" t="str">
        <f t="shared" si="4"/>
        <v/>
      </c>
      <c r="G11" s="175" t="s">
        <v>303</v>
      </c>
      <c r="H11" s="40">
        <f>CORREL(D2:D1001,C2:C1001)</f>
        <v>0.91344136474336346</v>
      </c>
      <c r="K11" s="170">
        <f t="shared" si="2"/>
        <v>12</v>
      </c>
      <c r="L11" s="173">
        <v>10</v>
      </c>
      <c r="M11" s="172">
        <v>0.497</v>
      </c>
      <c r="N11" s="172">
        <v>0.57599999999999996</v>
      </c>
      <c r="O11" s="172">
        <v>0.65800000000000003</v>
      </c>
      <c r="P11" s="172">
        <v>0.70799999999999996</v>
      </c>
    </row>
    <row r="12" spans="1:17" ht="17.25">
      <c r="E12" s="145" t="str">
        <f t="shared" si="3"/>
        <v/>
      </c>
      <c r="F12" s="41" t="str">
        <f t="shared" si="4"/>
        <v/>
      </c>
      <c r="G12" s="113" t="s">
        <v>304</v>
      </c>
      <c r="H12" s="41">
        <f>H11^2</f>
        <v>0.83437512682421833</v>
      </c>
      <c r="K12" s="170">
        <f t="shared" si="2"/>
        <v>13</v>
      </c>
      <c r="L12" s="176">
        <v>11</v>
      </c>
      <c r="M12" s="172">
        <v>0.47599999999999998</v>
      </c>
      <c r="N12" s="172">
        <v>0.55300000000000005</v>
      </c>
      <c r="O12" s="172">
        <v>0.63400000000000001</v>
      </c>
      <c r="P12" s="172">
        <v>0.68400000000000005</v>
      </c>
    </row>
    <row r="13" spans="1:17">
      <c r="E13" s="145" t="str">
        <f t="shared" si="3"/>
        <v/>
      </c>
      <c r="F13" s="41" t="str">
        <f t="shared" si="4"/>
        <v/>
      </c>
      <c r="G13" s="118" t="s">
        <v>305</v>
      </c>
      <c r="H13" s="39">
        <f>H11*SQRT(H3)/SQRT(1-H12)</f>
        <v>5.938365373265361</v>
      </c>
      <c r="K13" s="170">
        <f t="shared" si="2"/>
        <v>14</v>
      </c>
      <c r="L13" s="176">
        <v>12</v>
      </c>
      <c r="M13" s="172">
        <v>0.45800000000000002</v>
      </c>
      <c r="N13" s="172">
        <v>0.53200000000000003</v>
      </c>
      <c r="O13" s="172">
        <v>0.61199999999999999</v>
      </c>
      <c r="P13" s="172">
        <v>0.66100000000000003</v>
      </c>
    </row>
    <row r="14" spans="1:17" ht="30">
      <c r="E14" s="145" t="str">
        <f t="shared" si="3"/>
        <v/>
      </c>
      <c r="F14" s="41" t="str">
        <f t="shared" si="4"/>
        <v/>
      </c>
      <c r="G14" s="113" t="s">
        <v>306</v>
      </c>
      <c r="H14" s="145">
        <f>_xlfn.T.DIST(H13,H3,1)</f>
        <v>0.99971161820858856</v>
      </c>
      <c r="K14" s="170">
        <f t="shared" si="2"/>
        <v>15</v>
      </c>
      <c r="L14" s="176">
        <v>13</v>
      </c>
      <c r="M14" s="172">
        <v>0.441</v>
      </c>
      <c r="N14" s="172">
        <v>0.51400000000000001</v>
      </c>
      <c r="O14" s="172">
        <v>0.59199999999999997</v>
      </c>
      <c r="P14" s="172">
        <v>0.64100000000000001</v>
      </c>
    </row>
    <row r="15" spans="1:17" ht="30">
      <c r="E15" s="145" t="str">
        <f t="shared" si="3"/>
        <v/>
      </c>
      <c r="F15" s="41" t="str">
        <f t="shared" si="4"/>
        <v/>
      </c>
      <c r="G15" s="118" t="s">
        <v>307</v>
      </c>
      <c r="H15" s="149">
        <f>_xlfn.T.DIST.2T(ABS(H$13),H$3)</f>
        <v>5.767635828228142E-4</v>
      </c>
      <c r="K15" s="170">
        <f t="shared" si="2"/>
        <v>16</v>
      </c>
      <c r="L15" s="176">
        <v>14</v>
      </c>
      <c r="M15" s="172">
        <v>0.42599999999999999</v>
      </c>
      <c r="N15" s="172">
        <v>0.497</v>
      </c>
      <c r="O15" s="172">
        <v>0.57399999999999995</v>
      </c>
      <c r="P15" s="172">
        <v>0.623</v>
      </c>
    </row>
    <row r="16" spans="1:17" ht="30">
      <c r="E16" s="145" t="str">
        <f t="shared" si="3"/>
        <v/>
      </c>
      <c r="F16" s="41" t="str">
        <f t="shared" si="4"/>
        <v/>
      </c>
      <c r="G16" s="113" t="s">
        <v>308</v>
      </c>
      <c r="H16" s="145">
        <f>_xlfn.T.DIST.RT(H13,H3)</f>
        <v>2.883817914114071E-4</v>
      </c>
      <c r="J16" s="177"/>
      <c r="K16" s="170">
        <f t="shared" si="2"/>
        <v>17</v>
      </c>
      <c r="L16" s="176">
        <v>15</v>
      </c>
      <c r="M16" s="172">
        <v>0.41199999999999998</v>
      </c>
      <c r="N16" s="172">
        <v>0.48199999999999998</v>
      </c>
      <c r="O16" s="172">
        <v>0.55800000000000005</v>
      </c>
      <c r="P16" s="172">
        <v>0.60599999999999998</v>
      </c>
    </row>
    <row r="17" spans="5:16">
      <c r="E17" s="145" t="str">
        <f t="shared" si="3"/>
        <v/>
      </c>
      <c r="F17" s="41" t="str">
        <f t="shared" si="4"/>
        <v/>
      </c>
      <c r="G17" s="113" t="s">
        <v>309</v>
      </c>
      <c r="H17" s="38">
        <f>VLOOKUP(H3,L2:P40,5,TRUE)</f>
        <v>0.79800000000000004</v>
      </c>
      <c r="K17" s="170">
        <f t="shared" si="2"/>
        <v>18</v>
      </c>
      <c r="L17" s="176">
        <v>16</v>
      </c>
      <c r="M17" s="172">
        <v>0.4</v>
      </c>
      <c r="N17" s="172">
        <v>0.46800000000000003</v>
      </c>
      <c r="O17" s="172">
        <v>0.54200000000000004</v>
      </c>
      <c r="P17" s="172">
        <v>0.59</v>
      </c>
    </row>
    <row r="18" spans="5:16">
      <c r="E18" s="145" t="str">
        <f t="shared" si="3"/>
        <v/>
      </c>
      <c r="F18" s="41" t="str">
        <f t="shared" si="4"/>
        <v/>
      </c>
      <c r="G18" s="113" t="s">
        <v>310</v>
      </c>
      <c r="H18" s="38">
        <f>VLOOKUP(H3,L2:P40,4,TRUE)</f>
        <v>0.75</v>
      </c>
      <c r="K18" s="170">
        <f t="shared" si="2"/>
        <v>19</v>
      </c>
      <c r="L18" s="176">
        <v>17</v>
      </c>
      <c r="M18" s="172">
        <v>0.38900000000000001</v>
      </c>
      <c r="N18" s="172">
        <v>0.45600000000000002</v>
      </c>
      <c r="O18" s="172">
        <v>0.52800000000000002</v>
      </c>
      <c r="P18" s="172">
        <v>0.57499999999999996</v>
      </c>
    </row>
    <row r="19" spans="5:16">
      <c r="E19" s="145" t="str">
        <f t="shared" si="3"/>
        <v/>
      </c>
      <c r="F19" s="41" t="str">
        <f t="shared" si="4"/>
        <v/>
      </c>
      <c r="G19" s="113" t="s">
        <v>311</v>
      </c>
      <c r="H19" s="42">
        <f>VLOOKUP(H3,L2:P40,3,TRUE)</f>
        <v>0.66600000000000004</v>
      </c>
      <c r="K19" s="170">
        <f t="shared" si="2"/>
        <v>20</v>
      </c>
      <c r="L19" s="176">
        <v>18</v>
      </c>
      <c r="M19" s="172">
        <v>0.378</v>
      </c>
      <c r="N19" s="172">
        <v>0.44400000000000001</v>
      </c>
      <c r="O19" s="172">
        <v>0.51600000000000001</v>
      </c>
      <c r="P19" s="172">
        <v>0.56100000000000005</v>
      </c>
    </row>
    <row r="20" spans="5:16">
      <c r="E20" s="145" t="str">
        <f t="shared" si="3"/>
        <v/>
      </c>
      <c r="F20" s="41" t="str">
        <f t="shared" si="4"/>
        <v/>
      </c>
      <c r="G20" s="113" t="s">
        <v>312</v>
      </c>
      <c r="H20" s="42">
        <f>VLOOKUP(H3,L2:P40,2,TRUE)</f>
        <v>0.58199999999999996</v>
      </c>
      <c r="K20" s="170">
        <f t="shared" si="2"/>
        <v>21</v>
      </c>
      <c r="L20" s="176">
        <v>19</v>
      </c>
      <c r="M20" s="172">
        <v>0.36899999999999999</v>
      </c>
      <c r="N20" s="172">
        <v>0.433</v>
      </c>
      <c r="O20" s="172">
        <v>0.503</v>
      </c>
      <c r="P20" s="172">
        <v>0.54900000000000004</v>
      </c>
    </row>
    <row r="21" spans="5:16" ht="15" customHeight="1">
      <c r="E21" s="145" t="str">
        <f t="shared" si="3"/>
        <v/>
      </c>
      <c r="F21" s="41" t="str">
        <f t="shared" si="4"/>
        <v/>
      </c>
      <c r="G21" s="341" t="s">
        <v>313</v>
      </c>
      <c r="H21" s="342"/>
      <c r="K21" s="170">
        <f t="shared" si="2"/>
        <v>22</v>
      </c>
      <c r="L21" s="176">
        <v>20</v>
      </c>
      <c r="M21" s="172">
        <v>0.36</v>
      </c>
      <c r="N21" s="172">
        <v>0.42299999999999999</v>
      </c>
      <c r="O21" s="172">
        <v>0.49199999999999999</v>
      </c>
      <c r="P21" s="172">
        <v>0.53700000000000003</v>
      </c>
    </row>
    <row r="22" spans="5:16">
      <c r="E22" s="145" t="str">
        <f t="shared" si="3"/>
        <v/>
      </c>
      <c r="F22" s="41" t="str">
        <f t="shared" si="4"/>
        <v/>
      </c>
      <c r="G22" s="343"/>
      <c r="H22" s="344"/>
      <c r="K22" s="170">
        <f t="shared" si="2"/>
        <v>23</v>
      </c>
      <c r="L22" s="176">
        <v>21</v>
      </c>
      <c r="M22" s="172">
        <v>0.35199999999999998</v>
      </c>
      <c r="N22" s="172">
        <v>0.41299999999999998</v>
      </c>
      <c r="O22" s="172">
        <v>0.48199999999999998</v>
      </c>
      <c r="P22" s="172">
        <v>0.52600000000000002</v>
      </c>
    </row>
    <row r="23" spans="5:16">
      <c r="E23" s="145" t="str">
        <f t="shared" si="3"/>
        <v/>
      </c>
      <c r="F23" s="41" t="str">
        <f t="shared" si="4"/>
        <v/>
      </c>
      <c r="G23" s="341" t="s">
        <v>314</v>
      </c>
      <c r="H23" s="346"/>
      <c r="K23" s="170">
        <f t="shared" si="2"/>
        <v>24</v>
      </c>
      <c r="L23" s="176">
        <v>22</v>
      </c>
      <c r="M23" s="172">
        <v>0.34399999999999997</v>
      </c>
      <c r="N23" s="172">
        <v>0.40400000000000003</v>
      </c>
      <c r="O23" s="172">
        <v>0.47199999999999998</v>
      </c>
      <c r="P23" s="172">
        <v>0.51500000000000001</v>
      </c>
    </row>
    <row r="24" spans="5:16">
      <c r="E24" s="145" t="str">
        <f t="shared" si="3"/>
        <v/>
      </c>
      <c r="F24" s="41" t="str">
        <f t="shared" si="4"/>
        <v/>
      </c>
      <c r="G24" s="347"/>
      <c r="H24" s="348"/>
      <c r="K24" s="170">
        <f t="shared" si="2"/>
        <v>25</v>
      </c>
      <c r="L24" s="176">
        <v>23</v>
      </c>
      <c r="M24" s="172">
        <v>0.33700000000000002</v>
      </c>
      <c r="N24" s="172">
        <v>0.39600000000000002</v>
      </c>
      <c r="O24" s="172">
        <v>0.46200000000000002</v>
      </c>
      <c r="P24" s="172">
        <v>0.505</v>
      </c>
    </row>
    <row r="25" spans="5:16">
      <c r="E25" s="145" t="str">
        <f t="shared" si="3"/>
        <v/>
      </c>
      <c r="F25" s="41" t="str">
        <f t="shared" si="4"/>
        <v/>
      </c>
      <c r="G25" s="347"/>
      <c r="H25" s="348"/>
      <c r="K25" s="170">
        <f t="shared" si="2"/>
        <v>26</v>
      </c>
      <c r="L25" s="176">
        <v>24</v>
      </c>
      <c r="M25" s="172">
        <v>0.33</v>
      </c>
      <c r="N25" s="172">
        <v>0.38800000000000001</v>
      </c>
      <c r="O25" s="172">
        <v>0.45300000000000001</v>
      </c>
      <c r="P25" s="172">
        <v>0.496</v>
      </c>
    </row>
    <row r="26" spans="5:16">
      <c r="E26" s="145" t="str">
        <f t="shared" si="3"/>
        <v/>
      </c>
      <c r="F26" s="41" t="str">
        <f t="shared" si="4"/>
        <v/>
      </c>
      <c r="G26" s="178"/>
      <c r="H26" s="179"/>
      <c r="K26" s="170">
        <f t="shared" si="2"/>
        <v>27</v>
      </c>
      <c r="L26" s="176">
        <v>25</v>
      </c>
      <c r="M26" s="172">
        <v>0.32300000000000001</v>
      </c>
      <c r="N26" s="172">
        <v>0.38100000000000001</v>
      </c>
      <c r="O26" s="172">
        <v>0.44500000000000001</v>
      </c>
      <c r="P26" s="172">
        <v>0.48699999999999999</v>
      </c>
    </row>
    <row r="27" spans="5:16">
      <c r="E27" s="145" t="str">
        <f t="shared" si="3"/>
        <v/>
      </c>
      <c r="F27" s="41" t="str">
        <f t="shared" si="4"/>
        <v/>
      </c>
      <c r="G27" s="180"/>
      <c r="H27" s="181"/>
      <c r="K27" s="170">
        <f t="shared" si="2"/>
        <v>28</v>
      </c>
      <c r="L27" s="176">
        <v>26</v>
      </c>
      <c r="M27" s="172">
        <v>0.317</v>
      </c>
      <c r="N27" s="172">
        <v>0.374</v>
      </c>
      <c r="O27" s="172">
        <v>0.437</v>
      </c>
      <c r="P27" s="172">
        <v>0.47899999999999998</v>
      </c>
    </row>
    <row r="28" spans="5:16">
      <c r="E28" s="145" t="str">
        <f t="shared" si="3"/>
        <v/>
      </c>
      <c r="F28" s="41" t="str">
        <f t="shared" si="4"/>
        <v/>
      </c>
      <c r="K28" s="170">
        <f t="shared" si="2"/>
        <v>29</v>
      </c>
      <c r="L28" s="176">
        <v>27</v>
      </c>
      <c r="M28" s="172">
        <v>0.311</v>
      </c>
      <c r="N28" s="172">
        <v>0.36699999999999999</v>
      </c>
      <c r="O28" s="172">
        <v>0.43</v>
      </c>
      <c r="P28" s="172">
        <v>0.47099999999999997</v>
      </c>
    </row>
    <row r="29" spans="5:16">
      <c r="E29" s="145" t="str">
        <f t="shared" si="3"/>
        <v/>
      </c>
      <c r="F29" s="41" t="str">
        <f t="shared" si="4"/>
        <v/>
      </c>
      <c r="K29" s="170">
        <f t="shared" si="2"/>
        <v>30</v>
      </c>
      <c r="L29" s="176">
        <v>28</v>
      </c>
      <c r="M29" s="172">
        <v>0.30599999999999999</v>
      </c>
      <c r="N29" s="172">
        <v>0.36099999999999999</v>
      </c>
      <c r="O29" s="172">
        <v>0.42299999999999999</v>
      </c>
      <c r="P29" s="172">
        <v>0.46300000000000002</v>
      </c>
    </row>
    <row r="30" spans="5:16">
      <c r="E30" s="145" t="str">
        <f t="shared" si="3"/>
        <v/>
      </c>
      <c r="F30" s="41" t="str">
        <f t="shared" si="4"/>
        <v/>
      </c>
      <c r="K30" s="170">
        <f t="shared" si="2"/>
        <v>31</v>
      </c>
      <c r="L30" s="176">
        <v>29</v>
      </c>
      <c r="M30" s="172">
        <v>0.30099999999999999</v>
      </c>
      <c r="N30" s="172">
        <v>0.35499999999999998</v>
      </c>
      <c r="O30" s="172">
        <v>0.41599999999999998</v>
      </c>
      <c r="P30" s="172">
        <v>0.45600000000000002</v>
      </c>
    </row>
    <row r="31" spans="5:16">
      <c r="E31" s="145" t="str">
        <f t="shared" si="3"/>
        <v/>
      </c>
      <c r="F31" s="41" t="str">
        <f t="shared" si="4"/>
        <v/>
      </c>
      <c r="K31" s="170">
        <f t="shared" si="2"/>
        <v>32</v>
      </c>
      <c r="L31" s="176">
        <v>30</v>
      </c>
      <c r="M31" s="172">
        <v>0.29599999999999999</v>
      </c>
      <c r="N31" s="172">
        <v>0.34899999999999998</v>
      </c>
      <c r="O31" s="172">
        <v>0.40899999999999997</v>
      </c>
      <c r="P31" s="172">
        <v>0.44900000000000001</v>
      </c>
    </row>
    <row r="32" spans="5:16">
      <c r="E32" s="145" t="str">
        <f t="shared" si="3"/>
        <v/>
      </c>
      <c r="F32" s="41" t="str">
        <f t="shared" si="4"/>
        <v/>
      </c>
      <c r="K32" s="170">
        <f t="shared" si="2"/>
        <v>37</v>
      </c>
      <c r="L32" s="176">
        <v>35</v>
      </c>
      <c r="M32" s="172">
        <v>0.27500000000000002</v>
      </c>
      <c r="N32" s="172">
        <v>0.32500000000000001</v>
      </c>
      <c r="O32" s="172">
        <v>0.38100000000000001</v>
      </c>
      <c r="P32" s="172">
        <v>0.41799999999999998</v>
      </c>
    </row>
    <row r="33" spans="5:16">
      <c r="E33" s="145" t="str">
        <f t="shared" si="3"/>
        <v/>
      </c>
      <c r="F33" s="41" t="str">
        <f t="shared" si="4"/>
        <v/>
      </c>
      <c r="K33" s="170">
        <f t="shared" si="2"/>
        <v>42</v>
      </c>
      <c r="L33" s="176">
        <v>40</v>
      </c>
      <c r="M33" s="172">
        <v>0.25700000000000001</v>
      </c>
      <c r="N33" s="172">
        <v>0.30399999999999999</v>
      </c>
      <c r="O33" s="172">
        <v>0.35799999999999998</v>
      </c>
      <c r="P33" s="172">
        <v>0.39300000000000002</v>
      </c>
    </row>
    <row r="34" spans="5:16">
      <c r="E34" s="145" t="str">
        <f t="shared" si="3"/>
        <v/>
      </c>
      <c r="F34" s="41" t="str">
        <f t="shared" si="4"/>
        <v/>
      </c>
      <c r="K34" s="170">
        <f t="shared" si="2"/>
        <v>47</v>
      </c>
      <c r="L34" s="176">
        <v>45</v>
      </c>
      <c r="M34" s="172">
        <v>0.24299999999999999</v>
      </c>
      <c r="N34" s="172">
        <v>0.28799999999999998</v>
      </c>
      <c r="O34" s="172">
        <v>0.33800000000000002</v>
      </c>
      <c r="P34" s="172">
        <v>0.372</v>
      </c>
    </row>
    <row r="35" spans="5:16">
      <c r="E35" s="145" t="str">
        <f t="shared" si="3"/>
        <v/>
      </c>
      <c r="F35" s="41" t="str">
        <f t="shared" si="4"/>
        <v/>
      </c>
      <c r="K35" s="170">
        <f t="shared" si="2"/>
        <v>52</v>
      </c>
      <c r="L35" s="176">
        <v>50</v>
      </c>
      <c r="M35" s="172">
        <v>0.23100000000000001</v>
      </c>
      <c r="N35" s="172">
        <v>0.27300000000000002</v>
      </c>
      <c r="O35" s="172">
        <v>0.32200000000000001</v>
      </c>
      <c r="P35" s="172">
        <v>0.35399999999999998</v>
      </c>
    </row>
    <row r="36" spans="5:16">
      <c r="E36" s="145" t="str">
        <f t="shared" si="3"/>
        <v/>
      </c>
      <c r="F36" s="41" t="str">
        <f t="shared" si="4"/>
        <v/>
      </c>
      <c r="K36" s="170">
        <f t="shared" si="2"/>
        <v>62</v>
      </c>
      <c r="L36" s="176">
        <v>60</v>
      </c>
      <c r="M36" s="172">
        <v>0.21099999999999999</v>
      </c>
      <c r="N36" s="172">
        <v>0.25</v>
      </c>
      <c r="O36" s="172">
        <v>0.29499999999999998</v>
      </c>
      <c r="P36" s="172">
        <v>0.32500000000000001</v>
      </c>
    </row>
    <row r="37" spans="5:16">
      <c r="E37" s="145" t="str">
        <f t="shared" si="3"/>
        <v/>
      </c>
      <c r="F37" s="41" t="str">
        <f t="shared" si="4"/>
        <v/>
      </c>
      <c r="K37" s="170">
        <f t="shared" si="2"/>
        <v>72</v>
      </c>
      <c r="L37" s="176">
        <v>70</v>
      </c>
      <c r="M37" s="172">
        <v>0.19500000000000001</v>
      </c>
      <c r="N37" s="172">
        <v>0.23200000000000001</v>
      </c>
      <c r="O37" s="172">
        <v>0.27400000000000002</v>
      </c>
      <c r="P37" s="172">
        <v>0.30299999999999999</v>
      </c>
    </row>
    <row r="38" spans="5:16">
      <c r="E38" s="145" t="str">
        <f t="shared" si="3"/>
        <v/>
      </c>
      <c r="F38" s="41" t="str">
        <f t="shared" si="4"/>
        <v/>
      </c>
      <c r="K38" s="170">
        <f t="shared" si="2"/>
        <v>82</v>
      </c>
      <c r="L38" s="176">
        <v>80</v>
      </c>
      <c r="M38" s="172">
        <v>0.183</v>
      </c>
      <c r="N38" s="172">
        <v>0.217</v>
      </c>
      <c r="O38" s="172">
        <v>0.25600000000000001</v>
      </c>
      <c r="P38" s="172">
        <v>0.28299999999999997</v>
      </c>
    </row>
    <row r="39" spans="5:16">
      <c r="E39" s="145" t="str">
        <f t="shared" si="3"/>
        <v/>
      </c>
      <c r="F39" s="41" t="str">
        <f t="shared" si="4"/>
        <v/>
      </c>
      <c r="K39" s="170">
        <f t="shared" si="2"/>
        <v>92</v>
      </c>
      <c r="L39" s="176">
        <v>90</v>
      </c>
      <c r="M39" s="172">
        <v>0.17299999999999999</v>
      </c>
      <c r="N39" s="172">
        <v>0.20499999999999999</v>
      </c>
      <c r="O39" s="172">
        <v>0.24199999999999999</v>
      </c>
      <c r="P39" s="172">
        <v>0.26700000000000002</v>
      </c>
    </row>
    <row r="40" spans="5:16">
      <c r="E40" s="145" t="str">
        <f t="shared" si="3"/>
        <v/>
      </c>
      <c r="F40" s="41" t="str">
        <f t="shared" si="4"/>
        <v/>
      </c>
      <c r="K40" s="170">
        <f t="shared" si="2"/>
        <v>102</v>
      </c>
      <c r="L40" s="176">
        <v>100</v>
      </c>
      <c r="M40" s="172">
        <v>0.16400000000000001</v>
      </c>
      <c r="N40" s="172">
        <v>0.19500000000000001</v>
      </c>
      <c r="O40" s="172">
        <v>0.23</v>
      </c>
      <c r="P40" s="172">
        <v>0.254</v>
      </c>
    </row>
    <row r="41" spans="5:16">
      <c r="E41" s="145" t="str">
        <f t="shared" si="3"/>
        <v/>
      </c>
      <c r="F41" s="41" t="str">
        <f t="shared" si="4"/>
        <v/>
      </c>
      <c r="K41" s="182" t="s">
        <v>315</v>
      </c>
    </row>
    <row r="42" spans="5:16">
      <c r="E42" s="145" t="str">
        <f t="shared" si="3"/>
        <v/>
      </c>
      <c r="F42" s="41" t="str">
        <f t="shared" si="4"/>
        <v/>
      </c>
    </row>
    <row r="43" spans="5:16">
      <c r="E43" s="145" t="str">
        <f t="shared" si="3"/>
        <v/>
      </c>
      <c r="F43" s="41" t="str">
        <f t="shared" si="4"/>
        <v/>
      </c>
    </row>
    <row r="44" spans="5:16">
      <c r="E44" s="145" t="str">
        <f t="shared" si="3"/>
        <v/>
      </c>
      <c r="F44" s="41" t="str">
        <f t="shared" si="4"/>
        <v/>
      </c>
    </row>
    <row r="45" spans="5:16">
      <c r="E45" s="145" t="str">
        <f t="shared" si="3"/>
        <v/>
      </c>
      <c r="F45" s="41" t="str">
        <f t="shared" si="4"/>
        <v/>
      </c>
    </row>
    <row r="46" spans="5:16">
      <c r="E46" s="145" t="str">
        <f t="shared" si="3"/>
        <v/>
      </c>
      <c r="F46" s="41" t="str">
        <f t="shared" si="4"/>
        <v/>
      </c>
    </row>
    <row r="47" spans="5:16">
      <c r="E47" s="145" t="str">
        <f t="shared" si="3"/>
        <v/>
      </c>
      <c r="F47" s="41" t="str">
        <f t="shared" si="4"/>
        <v/>
      </c>
    </row>
    <row r="48" spans="5:16">
      <c r="E48" s="145" t="str">
        <f t="shared" si="3"/>
        <v/>
      </c>
      <c r="F48" s="41" t="str">
        <f t="shared" si="4"/>
        <v/>
      </c>
    </row>
    <row r="49" spans="5:6">
      <c r="E49" s="145" t="str">
        <f t="shared" si="3"/>
        <v/>
      </c>
      <c r="F49" s="41" t="str">
        <f t="shared" si="4"/>
        <v/>
      </c>
    </row>
    <row r="50" spans="5:6">
      <c r="E50" s="145" t="str">
        <f t="shared" si="3"/>
        <v/>
      </c>
      <c r="F50" s="41" t="str">
        <f t="shared" si="4"/>
        <v/>
      </c>
    </row>
    <row r="51" spans="5:6">
      <c r="E51" s="145" t="str">
        <f t="shared" si="3"/>
        <v/>
      </c>
      <c r="F51" s="41" t="str">
        <f t="shared" si="4"/>
        <v/>
      </c>
    </row>
    <row r="52" spans="5:6">
      <c r="E52" s="145" t="str">
        <f t="shared" si="3"/>
        <v/>
      </c>
      <c r="F52" s="41" t="str">
        <f t="shared" si="4"/>
        <v/>
      </c>
    </row>
    <row r="53" spans="5:6">
      <c r="E53" s="145" t="str">
        <f t="shared" si="3"/>
        <v/>
      </c>
      <c r="F53" s="41" t="str">
        <f t="shared" si="4"/>
        <v/>
      </c>
    </row>
    <row r="54" spans="5:6">
      <c r="E54" s="145" t="str">
        <f t="shared" si="3"/>
        <v/>
      </c>
      <c r="F54" s="41" t="str">
        <f t="shared" si="4"/>
        <v/>
      </c>
    </row>
    <row r="55" spans="5:6">
      <c r="E55" s="145" t="str">
        <f t="shared" si="3"/>
        <v/>
      </c>
      <c r="F55" s="41" t="str">
        <f t="shared" si="4"/>
        <v/>
      </c>
    </row>
    <row r="56" spans="5:6">
      <c r="E56" s="145" t="str">
        <f t="shared" si="3"/>
        <v/>
      </c>
      <c r="F56" s="41" t="str">
        <f t="shared" si="4"/>
        <v/>
      </c>
    </row>
    <row r="57" spans="5:6">
      <c r="E57" s="145" t="str">
        <f t="shared" si="3"/>
        <v/>
      </c>
      <c r="F57" s="41" t="str">
        <f t="shared" si="4"/>
        <v/>
      </c>
    </row>
    <row r="58" spans="5:6">
      <c r="E58" s="145" t="str">
        <f t="shared" si="3"/>
        <v/>
      </c>
      <c r="F58" s="41" t="str">
        <f t="shared" si="4"/>
        <v/>
      </c>
    </row>
    <row r="59" spans="5:6">
      <c r="E59" s="145" t="str">
        <f t="shared" si="3"/>
        <v/>
      </c>
      <c r="F59" s="41" t="str">
        <f t="shared" si="4"/>
        <v/>
      </c>
    </row>
    <row r="60" spans="5:6">
      <c r="E60" s="145" t="str">
        <f t="shared" si="3"/>
        <v/>
      </c>
      <c r="F60" s="41" t="str">
        <f t="shared" si="4"/>
        <v/>
      </c>
    </row>
    <row r="61" spans="5:6">
      <c r="E61" s="145" t="str">
        <f t="shared" si="3"/>
        <v/>
      </c>
      <c r="F61" s="41" t="str">
        <f t="shared" si="4"/>
        <v/>
      </c>
    </row>
    <row r="62" spans="5:6">
      <c r="E62" s="145" t="str">
        <f t="shared" si="3"/>
        <v/>
      </c>
      <c r="F62" s="41" t="str">
        <f t="shared" si="4"/>
        <v/>
      </c>
    </row>
    <row r="63" spans="5:6">
      <c r="E63" s="145" t="str">
        <f t="shared" si="3"/>
        <v/>
      </c>
      <c r="F63" s="41" t="str">
        <f t="shared" si="4"/>
        <v/>
      </c>
    </row>
    <row r="64" spans="5:6">
      <c r="E64" s="145" t="str">
        <f t="shared" si="3"/>
        <v/>
      </c>
      <c r="F64" s="41" t="str">
        <f t="shared" si="4"/>
        <v/>
      </c>
    </row>
    <row r="65" spans="5:6">
      <c r="E65" s="145" t="str">
        <f t="shared" si="3"/>
        <v/>
      </c>
      <c r="F65" s="41" t="str">
        <f t="shared" si="4"/>
        <v/>
      </c>
    </row>
    <row r="66" spans="5:6">
      <c r="E66" s="145" t="str">
        <f t="shared" si="3"/>
        <v/>
      </c>
      <c r="F66" s="41" t="str">
        <f t="shared" si="4"/>
        <v/>
      </c>
    </row>
    <row r="67" spans="5:6">
      <c r="E67" s="145" t="str">
        <f t="shared" si="3"/>
        <v/>
      </c>
      <c r="F67" s="41" t="str">
        <f t="shared" si="4"/>
        <v/>
      </c>
    </row>
    <row r="68" spans="5:6">
      <c r="E68" s="145" t="str">
        <f t="shared" si="3"/>
        <v/>
      </c>
      <c r="F68" s="41" t="str">
        <f t="shared" si="4"/>
        <v/>
      </c>
    </row>
    <row r="69" spans="5:6">
      <c r="E69" s="145" t="str">
        <f t="shared" si="3"/>
        <v/>
      </c>
      <c r="F69" s="41" t="str">
        <f t="shared" si="4"/>
        <v/>
      </c>
    </row>
    <row r="70" spans="5:6">
      <c r="E70" s="145" t="str">
        <f t="shared" si="3"/>
        <v/>
      </c>
      <c r="F70" s="41" t="str">
        <f t="shared" si="4"/>
        <v/>
      </c>
    </row>
    <row r="71" spans="5:6">
      <c r="E71" s="145" t="str">
        <f t="shared" si="3"/>
        <v/>
      </c>
      <c r="F71" s="41" t="str">
        <f t="shared" si="4"/>
        <v/>
      </c>
    </row>
    <row r="72" spans="5:6">
      <c r="E72" s="145" t="str">
        <f t="shared" si="3"/>
        <v/>
      </c>
      <c r="F72" s="41" t="str">
        <f t="shared" si="4"/>
        <v/>
      </c>
    </row>
    <row r="73" spans="5:6">
      <c r="E73" s="145" t="str">
        <f t="shared" ref="E73:E101" si="5">IF(ISBLANK(D73),"",(H$9*C73+H$10))</f>
        <v/>
      </c>
      <c r="F73" s="41" t="str">
        <f t="shared" si="4"/>
        <v/>
      </c>
    </row>
    <row r="74" spans="5:6">
      <c r="E74" s="145" t="str">
        <f t="shared" si="5"/>
        <v/>
      </c>
      <c r="F74" s="41" t="str">
        <f t="shared" ref="F74:F101" si="6">IF(ISBLANK(D74),"",(D74-E74))</f>
        <v/>
      </c>
    </row>
    <row r="75" spans="5:6">
      <c r="E75" s="145" t="str">
        <f t="shared" si="5"/>
        <v/>
      </c>
      <c r="F75" s="41" t="str">
        <f t="shared" si="6"/>
        <v/>
      </c>
    </row>
    <row r="76" spans="5:6">
      <c r="E76" s="145" t="str">
        <f t="shared" si="5"/>
        <v/>
      </c>
      <c r="F76" s="41" t="str">
        <f t="shared" si="6"/>
        <v/>
      </c>
    </row>
    <row r="77" spans="5:6">
      <c r="E77" s="145" t="str">
        <f t="shared" si="5"/>
        <v/>
      </c>
      <c r="F77" s="41" t="str">
        <f t="shared" si="6"/>
        <v/>
      </c>
    </row>
    <row r="78" spans="5:6">
      <c r="E78" s="145" t="str">
        <f t="shared" si="5"/>
        <v/>
      </c>
      <c r="F78" s="41" t="str">
        <f t="shared" si="6"/>
        <v/>
      </c>
    </row>
    <row r="79" spans="5:6">
      <c r="E79" s="145" t="str">
        <f t="shared" si="5"/>
        <v/>
      </c>
      <c r="F79" s="41" t="str">
        <f t="shared" si="6"/>
        <v/>
      </c>
    </row>
    <row r="80" spans="5:6">
      <c r="E80" s="145" t="str">
        <f t="shared" si="5"/>
        <v/>
      </c>
      <c r="F80" s="41" t="str">
        <f t="shared" si="6"/>
        <v/>
      </c>
    </row>
    <row r="81" spans="5:6">
      <c r="E81" s="145" t="str">
        <f t="shared" si="5"/>
        <v/>
      </c>
      <c r="F81" s="41" t="str">
        <f t="shared" si="6"/>
        <v/>
      </c>
    </row>
    <row r="82" spans="5:6">
      <c r="E82" s="145" t="str">
        <f t="shared" si="5"/>
        <v/>
      </c>
      <c r="F82" s="41" t="str">
        <f t="shared" si="6"/>
        <v/>
      </c>
    </row>
    <row r="83" spans="5:6">
      <c r="E83" s="145" t="str">
        <f t="shared" si="5"/>
        <v/>
      </c>
      <c r="F83" s="41" t="str">
        <f t="shared" si="6"/>
        <v/>
      </c>
    </row>
    <row r="84" spans="5:6">
      <c r="E84" s="145" t="str">
        <f t="shared" si="5"/>
        <v/>
      </c>
      <c r="F84" s="41" t="str">
        <f t="shared" si="6"/>
        <v/>
      </c>
    </row>
    <row r="85" spans="5:6">
      <c r="E85" s="145" t="str">
        <f t="shared" si="5"/>
        <v/>
      </c>
      <c r="F85" s="41" t="str">
        <f t="shared" si="6"/>
        <v/>
      </c>
    </row>
    <row r="86" spans="5:6">
      <c r="E86" s="145" t="str">
        <f t="shared" si="5"/>
        <v/>
      </c>
      <c r="F86" s="41" t="str">
        <f t="shared" si="6"/>
        <v/>
      </c>
    </row>
    <row r="87" spans="5:6">
      <c r="E87" s="145" t="str">
        <f t="shared" si="5"/>
        <v/>
      </c>
      <c r="F87" s="41" t="str">
        <f t="shared" si="6"/>
        <v/>
      </c>
    </row>
    <row r="88" spans="5:6">
      <c r="E88" s="145" t="str">
        <f t="shared" si="5"/>
        <v/>
      </c>
      <c r="F88" s="41" t="str">
        <f t="shared" si="6"/>
        <v/>
      </c>
    </row>
    <row r="89" spans="5:6">
      <c r="E89" s="145" t="str">
        <f t="shared" si="5"/>
        <v/>
      </c>
      <c r="F89" s="41" t="str">
        <f t="shared" si="6"/>
        <v/>
      </c>
    </row>
    <row r="90" spans="5:6">
      <c r="E90" s="145" t="str">
        <f t="shared" si="5"/>
        <v/>
      </c>
      <c r="F90" s="41" t="str">
        <f t="shared" si="6"/>
        <v/>
      </c>
    </row>
    <row r="91" spans="5:6">
      <c r="E91" s="145" t="str">
        <f t="shared" si="5"/>
        <v/>
      </c>
      <c r="F91" s="41" t="str">
        <f t="shared" si="6"/>
        <v/>
      </c>
    </row>
    <row r="92" spans="5:6">
      <c r="E92" s="145" t="str">
        <f t="shared" si="5"/>
        <v/>
      </c>
      <c r="F92" s="41" t="str">
        <f t="shared" si="6"/>
        <v/>
      </c>
    </row>
    <row r="93" spans="5:6">
      <c r="E93" s="145" t="str">
        <f t="shared" si="5"/>
        <v/>
      </c>
      <c r="F93" s="41" t="str">
        <f t="shared" si="6"/>
        <v/>
      </c>
    </row>
    <row r="94" spans="5:6">
      <c r="E94" s="145" t="str">
        <f t="shared" si="5"/>
        <v/>
      </c>
      <c r="F94" s="41" t="str">
        <f t="shared" si="6"/>
        <v/>
      </c>
    </row>
    <row r="95" spans="5:6">
      <c r="E95" s="145" t="str">
        <f t="shared" si="5"/>
        <v/>
      </c>
      <c r="F95" s="41" t="str">
        <f t="shared" si="6"/>
        <v/>
      </c>
    </row>
    <row r="96" spans="5:6">
      <c r="E96" s="145" t="str">
        <f t="shared" si="5"/>
        <v/>
      </c>
      <c r="F96" s="41" t="str">
        <f t="shared" si="6"/>
        <v/>
      </c>
    </row>
    <row r="97" spans="5:6">
      <c r="E97" s="145" t="str">
        <f t="shared" si="5"/>
        <v/>
      </c>
      <c r="F97" s="41" t="str">
        <f t="shared" si="6"/>
        <v/>
      </c>
    </row>
    <row r="98" spans="5:6">
      <c r="E98" s="145" t="str">
        <f t="shared" si="5"/>
        <v/>
      </c>
      <c r="F98" s="41" t="str">
        <f t="shared" si="6"/>
        <v/>
      </c>
    </row>
    <row r="99" spans="5:6">
      <c r="E99" s="145" t="str">
        <f t="shared" si="5"/>
        <v/>
      </c>
      <c r="F99" s="41" t="str">
        <f t="shared" si="6"/>
        <v/>
      </c>
    </row>
    <row r="100" spans="5:6">
      <c r="E100" s="145" t="str">
        <f t="shared" si="5"/>
        <v/>
      </c>
      <c r="F100" s="41" t="str">
        <f t="shared" si="6"/>
        <v/>
      </c>
    </row>
    <row r="101" spans="5:6">
      <c r="E101" s="145" t="str">
        <f t="shared" si="5"/>
        <v/>
      </c>
      <c r="F101" s="41" t="str">
        <f t="shared" si="6"/>
        <v/>
      </c>
    </row>
  </sheetData>
  <sheetProtection selectLockedCells="1"/>
  <mergeCells count="5">
    <mergeCell ref="A2:A3"/>
    <mergeCell ref="G8:H8"/>
    <mergeCell ref="G21:H22"/>
    <mergeCell ref="A4:A8"/>
    <mergeCell ref="G23:H25"/>
  </mergeCells>
  <pageMargins left="0.7" right="0.7" top="0.75" bottom="0.75" header="0.3" footer="0.3"/>
  <pageSetup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</vt:i4>
      </vt:variant>
    </vt:vector>
  </HeadingPairs>
  <TitlesOfParts>
    <vt:vector size="15" baseType="lpstr">
      <vt:lpstr>Prob.Functions &amp; Links</vt:lpstr>
      <vt:lpstr>Frequency</vt:lpstr>
      <vt:lpstr>BarChart</vt:lpstr>
      <vt:lpstr>Histogram1</vt:lpstr>
      <vt:lpstr>NormalityPlot</vt:lpstr>
      <vt:lpstr>Summary Statistics</vt:lpstr>
      <vt:lpstr>Proportion-Tests</vt:lpstr>
      <vt:lpstr>T-Tests</vt:lpstr>
      <vt:lpstr>Correlation_Regression</vt:lpstr>
      <vt:lpstr>Chi-Square Test for Indep</vt:lpstr>
      <vt:lpstr>Goodness-of-Fit</vt:lpstr>
      <vt:lpstr>ANOVA</vt:lpstr>
      <vt:lpstr>Correlation_Regression!Print_Area</vt:lpstr>
      <vt:lpstr>'Proportion-Tests'!Print_Area</vt:lpstr>
      <vt:lpstr>'T-Tests'!Print_Area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>Statistics</dc:subject>
  <dc:creator/>
  <cp:keywords>STAT1;Statistics</cp:keywords>
  <dc:description/>
  <cp:lastModifiedBy/>
  <cp:revision/>
  <dcterms:created xsi:type="dcterms:W3CDTF">2015-06-05T18:17:20Z</dcterms:created>
  <dcterms:modified xsi:type="dcterms:W3CDTF">2023-03-23T01:48:32Z</dcterms:modified>
  <cp:category>Statistics</cp:category>
  <cp:contentStatus>Published</cp:contentStatus>
</cp:coreProperties>
</file>